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0 Annual Update\Transco_OKTCo_SWTCo\Filed Documents 7-1-20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31" r:id="rId5"/>
  </pivotCaches>
</workbook>
</file>

<file path=xl/calcChain.xml><?xml version="1.0" encoding="utf-8"?>
<calcChain xmlns="http://schemas.openxmlformats.org/spreadsheetml/2006/main">
  <c r="L3" i="18" l="1"/>
  <c r="L6" i="18"/>
  <c r="C5" i="29" l="1"/>
  <c r="O191" i="18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P38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D54" i="18"/>
  <c r="B30" i="18"/>
  <c r="D41" i="18"/>
  <c r="D65" i="18"/>
  <c r="D89" i="18" s="1"/>
  <c r="D101" i="18" s="1"/>
  <c r="D113" i="18" s="1"/>
  <c r="D125" i="18" s="1"/>
  <c r="D137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B169" i="18"/>
  <c r="B168" i="18"/>
  <c r="B167" i="18"/>
  <c r="B166" i="18"/>
  <c r="C33" i="18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3" i="18"/>
  <c r="D63" i="18"/>
  <c r="D35" i="18"/>
  <c r="D37" i="18"/>
  <c r="D40" i="18"/>
  <c r="D64" i="18"/>
  <c r="D76" i="18" s="1"/>
  <c r="C72" i="18"/>
  <c r="D33" i="18"/>
  <c r="D34" i="18"/>
  <c r="D46" i="18" s="1"/>
  <c r="D57" i="18"/>
  <c r="D69" i="18"/>
  <c r="C54" i="18"/>
  <c r="C66" i="18"/>
  <c r="C78" i="18"/>
  <c r="D45" i="18"/>
  <c r="D77" i="18"/>
  <c r="D149" i="18"/>
  <c r="D161" i="18" s="1"/>
  <c r="D185" i="18" s="1"/>
  <c r="D197" i="18" s="1"/>
  <c r="D209" i="18" s="1"/>
  <c r="C49" i="18"/>
  <c r="D53" i="18"/>
  <c r="C90" i="18"/>
  <c r="C102" i="18" s="1"/>
  <c r="C114" i="18" s="1"/>
  <c r="C126" i="18" s="1"/>
  <c r="C138" i="18" s="1"/>
  <c r="C150" i="18" s="1"/>
  <c r="C162" i="18" s="1"/>
  <c r="D55" i="18"/>
  <c r="C51" i="18"/>
  <c r="C63" i="18"/>
  <c r="C58" i="18"/>
  <c r="D48" i="18"/>
  <c r="C73" i="18"/>
  <c r="C85" i="18"/>
  <c r="C97" i="18" s="1"/>
  <c r="C109" i="18" s="1"/>
  <c r="C121" i="18" s="1"/>
  <c r="C133" i="18" s="1"/>
  <c r="C145" i="18" s="1"/>
  <c r="C157" i="18" s="1"/>
  <c r="D81" i="18"/>
  <c r="D93" i="18" s="1"/>
  <c r="D105" i="18" s="1"/>
  <c r="D117" i="18" s="1"/>
  <c r="D129" i="18"/>
  <c r="D141" i="18"/>
  <c r="D153" i="18" s="1"/>
  <c r="D62" i="18"/>
  <c r="D74" i="18" s="1"/>
  <c r="D52" i="18"/>
  <c r="C45" i="18"/>
  <c r="C57" i="18"/>
  <c r="C81" i="18" s="1"/>
  <c r="C71" i="18"/>
  <c r="C69" i="18"/>
  <c r="C93" i="18"/>
  <c r="C105" i="18" s="1"/>
  <c r="C117" i="18" s="1"/>
  <c r="C129" i="18" s="1"/>
  <c r="C141" i="18" s="1"/>
  <c r="C153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P86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/>
  <c r="O87" i="18"/>
  <c r="P87" i="18" s="1"/>
  <c r="O64" i="18"/>
  <c r="P64" i="18" s="1"/>
  <c r="P177" i="18"/>
  <c r="P208" i="18"/>
  <c r="P57" i="18"/>
  <c r="P165" i="18"/>
  <c r="P173" i="18"/>
  <c r="P78" i="18"/>
  <c r="D24" i="29"/>
  <c r="H25" i="29"/>
  <c r="G22" i="29"/>
  <c r="G23" i="29"/>
  <c r="G28" i="29"/>
  <c r="D27" i="29"/>
  <c r="H35" i="29"/>
  <c r="E31" i="29"/>
  <c r="E37" i="29"/>
  <c r="H28" i="29"/>
  <c r="D36" i="29"/>
  <c r="G31" i="29"/>
  <c r="D25" i="29"/>
  <c r="H37" i="29"/>
  <c r="E24" i="29"/>
  <c r="D29" i="29"/>
  <c r="G29" i="29"/>
  <c r="E22" i="29"/>
  <c r="E27" i="29"/>
  <c r="E26" i="29"/>
  <c r="E29" i="29"/>
  <c r="E33" i="29"/>
  <c r="D32" i="29"/>
  <c r="H29" i="29"/>
  <c r="H22" i="29"/>
  <c r="G35" i="29"/>
  <c r="E32" i="29"/>
  <c r="D35" i="29"/>
  <c r="H21" i="29"/>
  <c r="D33" i="29"/>
  <c r="D31" i="29"/>
  <c r="G33" i="29"/>
  <c r="E28" i="29"/>
  <c r="G24" i="29"/>
  <c r="D23" i="29"/>
  <c r="E36" i="29"/>
  <c r="H23" i="29"/>
  <c r="D30" i="29"/>
  <c r="G25" i="29"/>
  <c r="E25" i="29"/>
  <c r="G32" i="29"/>
  <c r="H26" i="29"/>
  <c r="E23" i="29"/>
  <c r="D28" i="29"/>
  <c r="G27" i="29"/>
  <c r="H33" i="29"/>
  <c r="H36" i="29"/>
  <c r="G21" i="29"/>
  <c r="D37" i="29"/>
  <c r="E35" i="29"/>
  <c r="H32" i="29"/>
  <c r="D21" i="29"/>
  <c r="D22" i="29"/>
  <c r="G37" i="29"/>
  <c r="E21" i="29"/>
  <c r="H31" i="29"/>
  <c r="E30" i="29"/>
  <c r="G30" i="29"/>
  <c r="H30" i="29"/>
  <c r="D26" i="29"/>
  <c r="H24" i="29"/>
  <c r="G26" i="29"/>
  <c r="H27" i="29"/>
  <c r="G36" i="29"/>
  <c r="J38" i="29" l="1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6" i="18"/>
  <c r="D98" i="18" s="1"/>
  <c r="D110" i="18" s="1"/>
  <c r="D122" i="18" s="1"/>
  <c r="D134" i="18" s="1"/>
  <c r="D146" i="18" s="1"/>
  <c r="D158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J34" i="29"/>
  <c r="J39" i="29" s="1"/>
  <c r="D168" i="18"/>
  <c r="D180" i="18"/>
  <c r="D192" i="18" s="1"/>
  <c r="D204" i="18" s="1"/>
  <c r="D165" i="18"/>
  <c r="D177" i="18"/>
  <c r="D189" i="18" s="1"/>
  <c r="D201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170" i="18"/>
  <c r="D182" i="18"/>
  <c r="D194" i="18" s="1"/>
  <c r="D206" i="18" s="1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E39" i="29" l="1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F39" i="29" l="1"/>
  <c r="D178" i="18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F12" i="29" l="1"/>
  <c r="M21" i="18" l="1"/>
  <c r="M103" i="18"/>
  <c r="M105" i="18"/>
  <c r="M23" i="18"/>
  <c r="M92" i="18"/>
  <c r="M194" i="18"/>
  <c r="M47" i="18"/>
  <c r="M22" i="18"/>
  <c r="M98" i="18"/>
  <c r="M136" i="18"/>
  <c r="M89" i="18"/>
  <c r="M50" i="18"/>
  <c r="M211" i="18"/>
  <c r="M120" i="18"/>
  <c r="M99" i="18"/>
  <c r="M30" i="18"/>
  <c r="M126" i="18"/>
  <c r="M165" i="18"/>
  <c r="M138" i="18"/>
  <c r="M188" i="18"/>
  <c r="M107" i="18"/>
  <c r="M161" i="18"/>
  <c r="M53" i="18"/>
  <c r="M130" i="18"/>
  <c r="M129" i="18"/>
  <c r="M197" i="18"/>
  <c r="M144" i="18"/>
  <c r="M24" i="18"/>
  <c r="M82" i="18"/>
  <c r="M134" i="18"/>
  <c r="M147" i="18"/>
  <c r="M110" i="18"/>
  <c r="M41" i="18"/>
  <c r="M97" i="18"/>
  <c r="M111" i="18"/>
  <c r="M209" i="18"/>
  <c r="M207" i="18"/>
  <c r="M133" i="18"/>
  <c r="M116" i="18"/>
  <c r="M54" i="18"/>
  <c r="M146" i="18"/>
  <c r="M164" i="18"/>
  <c r="M71" i="18"/>
  <c r="M42" i="18"/>
  <c r="M73" i="18"/>
  <c r="M95" i="18"/>
  <c r="M152" i="18"/>
  <c r="M34" i="18"/>
  <c r="M58" i="18"/>
  <c r="M200" i="18"/>
  <c r="M57" i="18"/>
  <c r="M127" i="18"/>
  <c r="M149" i="18"/>
  <c r="M114" i="18"/>
  <c r="M163" i="18"/>
  <c r="M201" i="18"/>
  <c r="M148" i="18"/>
  <c r="M145" i="18"/>
  <c r="M39" i="18"/>
  <c r="M59" i="18"/>
  <c r="M173" i="18"/>
  <c r="M125" i="18"/>
  <c r="M158" i="18"/>
  <c r="M182" i="18"/>
  <c r="M102" i="18"/>
  <c r="M172" i="18"/>
  <c r="M49" i="18"/>
  <c r="M203" i="18"/>
  <c r="M122" i="18"/>
  <c r="M68" i="18"/>
  <c r="M44" i="18"/>
  <c r="M121" i="18"/>
  <c r="M64" i="18"/>
  <c r="M40" i="18"/>
  <c r="M61" i="18"/>
  <c r="M104" i="18"/>
  <c r="M185" i="18"/>
  <c r="M174" i="18"/>
  <c r="M70" i="18"/>
  <c r="M77" i="18"/>
  <c r="M124" i="18"/>
  <c r="M94" i="18"/>
  <c r="M28" i="18"/>
  <c r="M51" i="18"/>
  <c r="M206" i="18"/>
  <c r="M112" i="18"/>
  <c r="M67" i="18"/>
  <c r="M162" i="18"/>
  <c r="M35" i="18"/>
  <c r="M199" i="18"/>
  <c r="M168" i="18"/>
  <c r="M128" i="18"/>
  <c r="M170" i="18"/>
  <c r="M109" i="18"/>
  <c r="M76" i="18"/>
  <c r="M55" i="18"/>
  <c r="M78" i="18"/>
  <c r="M88" i="18"/>
  <c r="M66" i="18"/>
  <c r="M46" i="18"/>
  <c r="M180" i="18"/>
  <c r="M27" i="18"/>
  <c r="M38" i="18"/>
  <c r="M166" i="18"/>
  <c r="M83" i="18"/>
  <c r="M160" i="18"/>
  <c r="M91" i="18"/>
  <c r="M141" i="18"/>
  <c r="M187" i="18"/>
  <c r="M184" i="18"/>
  <c r="M176" i="18"/>
  <c r="M190" i="18"/>
  <c r="M137" i="18"/>
  <c r="M192" i="18"/>
  <c r="M63" i="18"/>
  <c r="M142" i="18"/>
  <c r="M157" i="18"/>
  <c r="M155" i="18"/>
  <c r="M119" i="18"/>
  <c r="M31" i="18"/>
  <c r="M45" i="18"/>
  <c r="M178" i="18"/>
  <c r="M208" i="18"/>
  <c r="M193" i="18"/>
  <c r="M132" i="18"/>
  <c r="M169" i="18"/>
  <c r="M186" i="18"/>
  <c r="M32" i="18"/>
  <c r="M75" i="18"/>
  <c r="M117" i="18"/>
  <c r="M60" i="18"/>
  <c r="M118" i="18"/>
  <c r="M150" i="18"/>
  <c r="M143" i="18"/>
  <c r="M195" i="18"/>
  <c r="M108" i="18"/>
  <c r="M115" i="18"/>
  <c r="M181" i="18"/>
  <c r="M25" i="18"/>
  <c r="M106" i="18"/>
  <c r="M72" i="18"/>
  <c r="M80" i="18"/>
  <c r="M74" i="18"/>
  <c r="M179" i="18"/>
  <c r="M65" i="18"/>
  <c r="M69" i="18"/>
  <c r="M20" i="18"/>
  <c r="M62" i="18"/>
  <c r="M191" i="18"/>
  <c r="M154" i="18"/>
  <c r="M139" i="18"/>
  <c r="M151" i="18"/>
  <c r="M204" i="18"/>
  <c r="M43" i="18"/>
  <c r="M90" i="18"/>
  <c r="M131" i="18"/>
  <c r="M210" i="18"/>
  <c r="M183" i="18"/>
  <c r="M101" i="18"/>
  <c r="M33" i="18"/>
  <c r="M140" i="18"/>
  <c r="M167" i="18"/>
  <c r="M153" i="18"/>
  <c r="M175" i="18"/>
  <c r="M113" i="18"/>
  <c r="M86" i="18"/>
  <c r="M29" i="18"/>
  <c r="M100" i="18"/>
  <c r="M196" i="18"/>
  <c r="M202" i="18"/>
  <c r="M189" i="18"/>
  <c r="M156" i="18"/>
  <c r="M135" i="18"/>
  <c r="M85" i="18"/>
  <c r="M79" i="18"/>
  <c r="M205" i="18"/>
  <c r="M26" i="18"/>
  <c r="M171" i="18"/>
  <c r="M84" i="18"/>
  <c r="M81" i="18"/>
  <c r="M198" i="18"/>
  <c r="M36" i="18"/>
  <c r="M48" i="18"/>
  <c r="M52" i="18"/>
  <c r="M37" i="18"/>
  <c r="M87" i="18"/>
  <c r="M96" i="18"/>
  <c r="M159" i="18"/>
  <c r="M56" i="18"/>
  <c r="M93" i="18"/>
  <c r="M177" i="18"/>
  <c r="M123" i="18"/>
  <c r="M13" i="18" l="1"/>
  <c r="M212" i="18"/>
  <c r="E11" i="29" l="1"/>
  <c r="H172" i="18" l="1"/>
  <c r="K172" i="18" s="1"/>
  <c r="H124" i="18"/>
  <c r="K124" i="18" s="1"/>
  <c r="H76" i="18"/>
  <c r="K76" i="18" s="1"/>
  <c r="H207" i="18"/>
  <c r="K207" i="18" s="1"/>
  <c r="H159" i="18"/>
  <c r="K159" i="18" s="1"/>
  <c r="H115" i="18"/>
  <c r="K115" i="18" s="1"/>
  <c r="H63" i="18"/>
  <c r="K63" i="18" s="1"/>
  <c r="H186" i="18"/>
  <c r="K186" i="18" s="1"/>
  <c r="H102" i="18"/>
  <c r="K102" i="18" s="1"/>
  <c r="H173" i="18"/>
  <c r="K173" i="18" s="1"/>
  <c r="H113" i="18"/>
  <c r="K113" i="18" s="1"/>
  <c r="H199" i="18"/>
  <c r="K199" i="18" s="1"/>
  <c r="H151" i="18"/>
  <c r="K151" i="18" s="1"/>
  <c r="H99" i="18"/>
  <c r="K99" i="18" s="1"/>
  <c r="H55" i="18"/>
  <c r="K55" i="18" s="1"/>
  <c r="H126" i="18"/>
  <c r="K126" i="18" s="1"/>
  <c r="H209" i="18"/>
  <c r="K209" i="18" s="1"/>
  <c r="H89" i="18"/>
  <c r="K89" i="18" s="1"/>
  <c r="H148" i="18"/>
  <c r="K148" i="18" s="1"/>
  <c r="H183" i="18"/>
  <c r="K183" i="18" s="1"/>
  <c r="H43" i="18"/>
  <c r="K43" i="18" s="1"/>
  <c r="H137" i="18"/>
  <c r="K137" i="18" s="1"/>
  <c r="H171" i="18"/>
  <c r="K171" i="18" s="1"/>
  <c r="H79" i="18"/>
  <c r="K79" i="18" s="1"/>
  <c r="H78" i="18"/>
  <c r="K78" i="18" s="1"/>
  <c r="H41" i="18"/>
  <c r="K41" i="18" s="1"/>
  <c r="H184" i="18"/>
  <c r="K184" i="18" s="1"/>
  <c r="H88" i="18"/>
  <c r="K88" i="18" s="1"/>
  <c r="H40" i="18"/>
  <c r="K40" i="18" s="1"/>
  <c r="H123" i="18"/>
  <c r="K123" i="18" s="1"/>
  <c r="H198" i="18"/>
  <c r="K198" i="18" s="1"/>
  <c r="H197" i="18"/>
  <c r="K197" i="18" s="1"/>
  <c r="H125" i="18"/>
  <c r="K125" i="18" s="1"/>
  <c r="H163" i="18"/>
  <c r="K163" i="18" s="1"/>
  <c r="H111" i="18"/>
  <c r="K111" i="18" s="1"/>
  <c r="H67" i="18"/>
  <c r="K67" i="18" s="1"/>
  <c r="H54" i="18"/>
  <c r="K54" i="18" s="1"/>
  <c r="H210" i="18"/>
  <c r="K210" i="18" s="1"/>
  <c r="H208" i="18"/>
  <c r="K208" i="18" s="1"/>
  <c r="H160" i="18"/>
  <c r="K160" i="18" s="1"/>
  <c r="H112" i="18"/>
  <c r="K112" i="18" s="1"/>
  <c r="H64" i="18"/>
  <c r="K64" i="18" s="1"/>
  <c r="H195" i="18"/>
  <c r="K195" i="18" s="1"/>
  <c r="H147" i="18"/>
  <c r="K147" i="18" s="1"/>
  <c r="H103" i="18"/>
  <c r="K103" i="18" s="1"/>
  <c r="H51" i="18"/>
  <c r="K51" i="18" s="1"/>
  <c r="H162" i="18"/>
  <c r="K162" i="18" s="1"/>
  <c r="H66" i="18"/>
  <c r="K66" i="18" s="1"/>
  <c r="H161" i="18"/>
  <c r="K161" i="18" s="1"/>
  <c r="H77" i="18"/>
  <c r="K77" i="18" s="1"/>
  <c r="H187" i="18"/>
  <c r="K187" i="18" s="1"/>
  <c r="H135" i="18"/>
  <c r="K135" i="18" s="1"/>
  <c r="H91" i="18"/>
  <c r="K91" i="18" s="1"/>
  <c r="H39" i="18"/>
  <c r="K39" i="18" s="1"/>
  <c r="H90" i="18"/>
  <c r="K90" i="18" s="1"/>
  <c r="H185" i="18"/>
  <c r="K185" i="18" s="1"/>
  <c r="H65" i="18"/>
  <c r="K65" i="18" s="1"/>
  <c r="H196" i="18"/>
  <c r="K196" i="18" s="1"/>
  <c r="H100" i="18"/>
  <c r="K100" i="18" s="1"/>
  <c r="H52" i="18"/>
  <c r="K52" i="18" s="1"/>
  <c r="H139" i="18"/>
  <c r="K139" i="18" s="1"/>
  <c r="H87" i="18"/>
  <c r="K87" i="18" s="1"/>
  <c r="H138" i="18"/>
  <c r="K138" i="18" s="1"/>
  <c r="H42" i="18"/>
  <c r="K42" i="18" s="1"/>
  <c r="H53" i="18"/>
  <c r="K53" i="18" s="1"/>
  <c r="H127" i="18"/>
  <c r="K127" i="18" s="1"/>
  <c r="H174" i="18"/>
  <c r="K174" i="18" s="1"/>
  <c r="H149" i="18"/>
  <c r="K149" i="18" s="1"/>
  <c r="H136" i="18"/>
  <c r="K136" i="18" s="1"/>
  <c r="H175" i="18"/>
  <c r="K175" i="18" s="1"/>
  <c r="H75" i="18"/>
  <c r="K75" i="18" s="1"/>
  <c r="H114" i="18"/>
  <c r="K114" i="18" s="1"/>
  <c r="H211" i="18"/>
  <c r="K211" i="18" s="1"/>
  <c r="H150" i="18"/>
  <c r="K150" i="18" s="1"/>
  <c r="H101" i="18"/>
  <c r="K101" i="18" s="1"/>
  <c r="H31" i="18"/>
  <c r="K31" i="18" s="1"/>
  <c r="H30" i="18"/>
  <c r="K30" i="18" s="1"/>
  <c r="H27" i="18"/>
  <c r="K27" i="18" s="1"/>
  <c r="E13" i="29"/>
  <c r="H29" i="18"/>
  <c r="K29" i="18" s="1"/>
  <c r="H28" i="18"/>
  <c r="K28" i="18" s="1"/>
  <c r="H203" i="18"/>
  <c r="K203" i="18" s="1"/>
  <c r="H60" i="18"/>
  <c r="K60" i="18" s="1"/>
  <c r="H121" i="18"/>
  <c r="K121" i="18" s="1"/>
  <c r="H178" i="18"/>
  <c r="K178" i="18" s="1"/>
  <c r="H26" i="18"/>
  <c r="K26" i="18" s="1"/>
  <c r="H57" i="18"/>
  <c r="K57" i="18" s="1"/>
  <c r="H83" i="18"/>
  <c r="K83" i="18" s="1"/>
  <c r="H109" i="18"/>
  <c r="K109" i="18" s="1"/>
  <c r="H140" i="18"/>
  <c r="K140" i="18" s="1"/>
  <c r="H166" i="18"/>
  <c r="K166" i="18" s="1"/>
  <c r="H192" i="18"/>
  <c r="K192" i="18" s="1"/>
  <c r="H34" i="18"/>
  <c r="K34" i="18" s="1"/>
  <c r="H82" i="18"/>
  <c r="K82" i="18" s="1"/>
  <c r="H130" i="18"/>
  <c r="K130" i="18" s="1"/>
  <c r="H182" i="18"/>
  <c r="K182" i="18" s="1"/>
  <c r="H36" i="18"/>
  <c r="K36" i="18" s="1"/>
  <c r="H62" i="18"/>
  <c r="K62" i="18" s="1"/>
  <c r="H93" i="18"/>
  <c r="K93" i="18" s="1"/>
  <c r="H119" i="18"/>
  <c r="K119" i="18" s="1"/>
  <c r="H145" i="18"/>
  <c r="K145" i="18" s="1"/>
  <c r="H176" i="18"/>
  <c r="K176" i="18" s="1"/>
  <c r="H202" i="18"/>
  <c r="K202" i="18" s="1"/>
  <c r="H33" i="18"/>
  <c r="K33" i="18" s="1"/>
  <c r="H59" i="18"/>
  <c r="K59" i="18" s="1"/>
  <c r="H85" i="18"/>
  <c r="K85" i="18" s="1"/>
  <c r="H116" i="18"/>
  <c r="K116" i="18" s="1"/>
  <c r="H142" i="18"/>
  <c r="K142" i="18" s="1"/>
  <c r="H168" i="18"/>
  <c r="K168" i="18" s="1"/>
  <c r="H194" i="18"/>
  <c r="K194" i="18" s="1"/>
  <c r="H25" i="18"/>
  <c r="K25" i="18" s="1"/>
  <c r="H204" i="18"/>
  <c r="K204" i="18" s="1"/>
  <c r="H44" i="18"/>
  <c r="K44" i="18" s="1"/>
  <c r="H96" i="18"/>
  <c r="K96" i="18" s="1"/>
  <c r="H179" i="18"/>
  <c r="K179" i="18" s="1"/>
  <c r="H56" i="18"/>
  <c r="K56" i="18" s="1"/>
  <c r="H23" i="18"/>
  <c r="K23" i="18" s="1"/>
  <c r="H49" i="18"/>
  <c r="K49" i="18" s="1"/>
  <c r="H106" i="18"/>
  <c r="K106" i="18" s="1"/>
  <c r="H189" i="18"/>
  <c r="K189" i="18" s="1"/>
  <c r="H46" i="18"/>
  <c r="K46" i="18" s="1"/>
  <c r="H98" i="18"/>
  <c r="K98" i="18" s="1"/>
  <c r="H129" i="18"/>
  <c r="K129" i="18" s="1"/>
  <c r="H181" i="18"/>
  <c r="K181" i="18" s="1"/>
  <c r="H38" i="18"/>
  <c r="K38" i="18" s="1"/>
  <c r="H108" i="18"/>
  <c r="K108" i="18" s="1"/>
  <c r="H165" i="18"/>
  <c r="K165" i="18" s="1"/>
  <c r="H22" i="18"/>
  <c r="K22" i="18" s="1"/>
  <c r="H48" i="18"/>
  <c r="K48" i="18" s="1"/>
  <c r="H74" i="18"/>
  <c r="K74" i="18" s="1"/>
  <c r="H105" i="18"/>
  <c r="K105" i="18" s="1"/>
  <c r="H131" i="18"/>
  <c r="K131" i="18" s="1"/>
  <c r="H157" i="18"/>
  <c r="K157" i="18" s="1"/>
  <c r="H188" i="18"/>
  <c r="K188" i="18" s="1"/>
  <c r="H21" i="18"/>
  <c r="K21" i="18" s="1"/>
  <c r="H69" i="18"/>
  <c r="K69" i="18" s="1"/>
  <c r="H117" i="18"/>
  <c r="K117" i="18" s="1"/>
  <c r="H169" i="18"/>
  <c r="K169" i="18" s="1"/>
  <c r="H32" i="18"/>
  <c r="K32" i="18" s="1"/>
  <c r="H58" i="18"/>
  <c r="K58" i="18" s="1"/>
  <c r="H84" i="18"/>
  <c r="K84" i="18" s="1"/>
  <c r="H110" i="18"/>
  <c r="K110" i="18" s="1"/>
  <c r="H141" i="18"/>
  <c r="K141" i="18" s="1"/>
  <c r="H167" i="18"/>
  <c r="K167" i="18" s="1"/>
  <c r="H193" i="18"/>
  <c r="K193" i="18" s="1"/>
  <c r="H50" i="18"/>
  <c r="K50" i="18" s="1"/>
  <c r="H81" i="18"/>
  <c r="K81" i="18" s="1"/>
  <c r="H107" i="18"/>
  <c r="K107" i="18" s="1"/>
  <c r="H133" i="18"/>
  <c r="K133" i="18" s="1"/>
  <c r="H164" i="18"/>
  <c r="K164" i="18" s="1"/>
  <c r="H190" i="18"/>
  <c r="K190" i="18" s="1"/>
  <c r="H73" i="18"/>
  <c r="K73" i="18" s="1"/>
  <c r="H134" i="18"/>
  <c r="K134" i="18" s="1"/>
  <c r="H191" i="18"/>
  <c r="K191" i="18" s="1"/>
  <c r="H35" i="18"/>
  <c r="K35" i="18" s="1"/>
  <c r="H61" i="18"/>
  <c r="K61" i="18" s="1"/>
  <c r="H92" i="18"/>
  <c r="K92" i="18" s="1"/>
  <c r="H118" i="18"/>
  <c r="K118" i="18" s="1"/>
  <c r="H144" i="18"/>
  <c r="K144" i="18" s="1"/>
  <c r="H170" i="18"/>
  <c r="K170" i="18" s="1"/>
  <c r="H201" i="18"/>
  <c r="K201" i="18" s="1"/>
  <c r="H47" i="18"/>
  <c r="K47" i="18" s="1"/>
  <c r="H95" i="18"/>
  <c r="K95" i="18" s="1"/>
  <c r="H143" i="18"/>
  <c r="K143" i="18" s="1"/>
  <c r="H200" i="18"/>
  <c r="K200" i="18" s="1"/>
  <c r="H45" i="18"/>
  <c r="K45" i="18" s="1"/>
  <c r="H71" i="18"/>
  <c r="K71" i="18" s="1"/>
  <c r="H97" i="18"/>
  <c r="K97" i="18" s="1"/>
  <c r="H128" i="18"/>
  <c r="K128" i="18" s="1"/>
  <c r="H154" i="18"/>
  <c r="K154" i="18" s="1"/>
  <c r="H180" i="18"/>
  <c r="K180" i="18" s="1"/>
  <c r="H206" i="18"/>
  <c r="K206" i="18" s="1"/>
  <c r="H37" i="18"/>
  <c r="K37" i="18" s="1"/>
  <c r="H68" i="18"/>
  <c r="K68" i="18" s="1"/>
  <c r="H94" i="18"/>
  <c r="K94" i="18" s="1"/>
  <c r="H120" i="18"/>
  <c r="K120" i="18" s="1"/>
  <c r="H146" i="18"/>
  <c r="K146" i="18" s="1"/>
  <c r="H177" i="18"/>
  <c r="K177" i="18" s="1"/>
  <c r="H86" i="18"/>
  <c r="K86" i="18" s="1"/>
  <c r="H152" i="18"/>
  <c r="K152" i="18" s="1"/>
  <c r="H70" i="18"/>
  <c r="K70" i="18" s="1"/>
  <c r="H122" i="18"/>
  <c r="K122" i="18" s="1"/>
  <c r="H153" i="18"/>
  <c r="K153" i="18" s="1"/>
  <c r="H205" i="18"/>
  <c r="K205" i="18" s="1"/>
  <c r="H104" i="18"/>
  <c r="K104" i="18" s="1"/>
  <c r="H156" i="18"/>
  <c r="K156" i="18" s="1"/>
  <c r="H80" i="18"/>
  <c r="K80" i="18" s="1"/>
  <c r="H132" i="18"/>
  <c r="K132" i="18" s="1"/>
  <c r="H158" i="18"/>
  <c r="K158" i="18" s="1"/>
  <c r="H20" i="18"/>
  <c r="K20" i="18" s="1"/>
  <c r="H72" i="18"/>
  <c r="K72" i="18" s="1"/>
  <c r="H155" i="18"/>
  <c r="K155" i="18" s="1"/>
  <c r="H24" i="18"/>
  <c r="K24" i="18" s="1"/>
  <c r="K14" i="18" l="1"/>
  <c r="K212" i="18"/>
  <c r="K13" i="18"/>
  <c r="I81" i="18" l="1"/>
  <c r="J81" i="18" s="1"/>
  <c r="L81" i="18" s="1"/>
  <c r="N81" i="18" s="1"/>
  <c r="R81" i="18" s="1"/>
  <c r="I42" i="18"/>
  <c r="J42" i="18" s="1"/>
  <c r="L42" i="18" s="1"/>
  <c r="N42" i="18" s="1"/>
  <c r="R42" i="18" s="1"/>
  <c r="I36" i="18"/>
  <c r="J36" i="18" s="1"/>
  <c r="L36" i="18" s="1"/>
  <c r="N36" i="18" s="1"/>
  <c r="R36" i="18" s="1"/>
  <c r="I179" i="18"/>
  <c r="J179" i="18" s="1"/>
  <c r="L179" i="18" s="1"/>
  <c r="N179" i="18" s="1"/>
  <c r="R179" i="18" s="1"/>
  <c r="I171" i="18"/>
  <c r="J171" i="18" s="1"/>
  <c r="L171" i="18" s="1"/>
  <c r="N171" i="18" s="1"/>
  <c r="R171" i="18" s="1"/>
  <c r="I189" i="18"/>
  <c r="J189" i="18" s="1"/>
  <c r="L189" i="18" s="1"/>
  <c r="N189" i="18" s="1"/>
  <c r="R189" i="18" s="1"/>
  <c r="I134" i="18"/>
  <c r="J134" i="18" s="1"/>
  <c r="L134" i="18" s="1"/>
  <c r="N134" i="18" s="1"/>
  <c r="R134" i="18" s="1"/>
  <c r="I61" i="18"/>
  <c r="J61" i="18" s="1"/>
  <c r="L61" i="18" s="1"/>
  <c r="N61" i="18" s="1"/>
  <c r="R61" i="18" s="1"/>
  <c r="I111" i="18"/>
  <c r="J111" i="18" s="1"/>
  <c r="L111" i="18" s="1"/>
  <c r="N111" i="18" s="1"/>
  <c r="R111" i="18" s="1"/>
  <c r="I116" i="18"/>
  <c r="J116" i="18" s="1"/>
  <c r="L116" i="18" s="1"/>
  <c r="N116" i="18" s="1"/>
  <c r="R116" i="18" s="1"/>
  <c r="I92" i="18"/>
  <c r="J92" i="18" s="1"/>
  <c r="L92" i="18" s="1"/>
  <c r="N92" i="18" s="1"/>
  <c r="R92" i="18" s="1"/>
  <c r="I161" i="18"/>
  <c r="J161" i="18" s="1"/>
  <c r="L161" i="18" s="1"/>
  <c r="N161" i="18" s="1"/>
  <c r="R161" i="18" s="1"/>
  <c r="I50" i="18"/>
  <c r="J50" i="18" s="1"/>
  <c r="L50" i="18" s="1"/>
  <c r="N50" i="18" s="1"/>
  <c r="R50" i="18" s="1"/>
  <c r="I22" i="18"/>
  <c r="J22" i="18" s="1"/>
  <c r="L22" i="18" s="1"/>
  <c r="N22" i="18" s="1"/>
  <c r="R22" i="18" s="1"/>
  <c r="I57" i="18"/>
  <c r="J57" i="18" s="1"/>
  <c r="L57" i="18" s="1"/>
  <c r="N57" i="18" s="1"/>
  <c r="R57" i="18" s="1"/>
  <c r="I62" i="18"/>
  <c r="J62" i="18" s="1"/>
  <c r="L62" i="18" s="1"/>
  <c r="N62" i="18" s="1"/>
  <c r="R62" i="18" s="1"/>
  <c r="I204" i="18"/>
  <c r="J204" i="18" s="1"/>
  <c r="L204" i="18" s="1"/>
  <c r="N204" i="18" s="1"/>
  <c r="R204" i="18" s="1"/>
  <c r="I105" i="18"/>
  <c r="J105" i="18" s="1"/>
  <c r="L105" i="18" s="1"/>
  <c r="N105" i="18" s="1"/>
  <c r="R105" i="18" s="1"/>
  <c r="I193" i="18"/>
  <c r="J193" i="18" s="1"/>
  <c r="L193" i="18" s="1"/>
  <c r="N193" i="18" s="1"/>
  <c r="R193" i="18" s="1"/>
  <c r="I142" i="18"/>
  <c r="J142" i="18" s="1"/>
  <c r="L142" i="18" s="1"/>
  <c r="N142" i="18" s="1"/>
  <c r="R142" i="18" s="1"/>
  <c r="I23" i="18"/>
  <c r="J23" i="18" s="1"/>
  <c r="L23" i="18" s="1"/>
  <c r="N23" i="18" s="1"/>
  <c r="R23" i="18" s="1"/>
  <c r="I37" i="18"/>
  <c r="J37" i="18" s="1"/>
  <c r="L37" i="18" s="1"/>
  <c r="N37" i="18" s="1"/>
  <c r="R37" i="18" s="1"/>
  <c r="I32" i="18"/>
  <c r="J32" i="18" s="1"/>
  <c r="L32" i="18" s="1"/>
  <c r="N32" i="18" s="1"/>
  <c r="R32" i="18" s="1"/>
  <c r="I149" i="18"/>
  <c r="J149" i="18" s="1"/>
  <c r="L149" i="18" s="1"/>
  <c r="N149" i="18" s="1"/>
  <c r="R149" i="18" s="1"/>
  <c r="I210" i="18"/>
  <c r="J210" i="18" s="1"/>
  <c r="L210" i="18" s="1"/>
  <c r="N210" i="18" s="1"/>
  <c r="R210" i="18" s="1"/>
  <c r="I44" i="18"/>
  <c r="J44" i="18" s="1"/>
  <c r="L44" i="18" s="1"/>
  <c r="N44" i="18" s="1"/>
  <c r="R44" i="18" s="1"/>
  <c r="I67" i="18"/>
  <c r="J67" i="18" s="1"/>
  <c r="L67" i="18" s="1"/>
  <c r="N67" i="18" s="1"/>
  <c r="R67" i="18" s="1"/>
  <c r="I135" i="18"/>
  <c r="J135" i="18" s="1"/>
  <c r="L135" i="18" s="1"/>
  <c r="N135" i="18" s="1"/>
  <c r="R135" i="18" s="1"/>
  <c r="I43" i="18"/>
  <c r="J43" i="18" s="1"/>
  <c r="L43" i="18" s="1"/>
  <c r="N43" i="18" s="1"/>
  <c r="R43" i="18" s="1"/>
  <c r="I55" i="18"/>
  <c r="J55" i="18" s="1"/>
  <c r="L55" i="18" s="1"/>
  <c r="N55" i="18" s="1"/>
  <c r="R55" i="18" s="1"/>
  <c r="I172" i="18"/>
  <c r="J172" i="18" s="1"/>
  <c r="L172" i="18" s="1"/>
  <c r="N172" i="18" s="1"/>
  <c r="R172" i="18" s="1"/>
  <c r="I144" i="18"/>
  <c r="J144" i="18" s="1"/>
  <c r="L144" i="18" s="1"/>
  <c r="N144" i="18" s="1"/>
  <c r="R144" i="18" s="1"/>
  <c r="I163" i="18"/>
  <c r="J163" i="18" s="1"/>
  <c r="L163" i="18" s="1"/>
  <c r="N163" i="18" s="1"/>
  <c r="R163" i="18" s="1"/>
  <c r="I182" i="18"/>
  <c r="J182" i="18" s="1"/>
  <c r="L182" i="18" s="1"/>
  <c r="N182" i="18" s="1"/>
  <c r="R182" i="18" s="1"/>
  <c r="I85" i="18"/>
  <c r="J85" i="18" s="1"/>
  <c r="L85" i="18" s="1"/>
  <c r="N85" i="18" s="1"/>
  <c r="R85" i="18" s="1"/>
  <c r="I82" i="18"/>
  <c r="J82" i="18" s="1"/>
  <c r="L82" i="18" s="1"/>
  <c r="N82" i="18" s="1"/>
  <c r="R82" i="18" s="1"/>
  <c r="I103" i="18"/>
  <c r="J103" i="18" s="1"/>
  <c r="L103" i="18" s="1"/>
  <c r="N103" i="18" s="1"/>
  <c r="R103" i="18" s="1"/>
  <c r="I120" i="18"/>
  <c r="J120" i="18" s="1"/>
  <c r="L120" i="18" s="1"/>
  <c r="N120" i="18" s="1"/>
  <c r="R120" i="18" s="1"/>
  <c r="I73" i="18"/>
  <c r="J73" i="18" s="1"/>
  <c r="L73" i="18" s="1"/>
  <c r="N73" i="18" s="1"/>
  <c r="R73" i="18" s="1"/>
  <c r="I28" i="18"/>
  <c r="J28" i="18" s="1"/>
  <c r="L28" i="18" s="1"/>
  <c r="N28" i="18" s="1"/>
  <c r="R28" i="18" s="1"/>
  <c r="I165" i="18"/>
  <c r="J165" i="18" s="1"/>
  <c r="L165" i="18" s="1"/>
  <c r="N165" i="18" s="1"/>
  <c r="R165" i="18" s="1"/>
  <c r="I170" i="18"/>
  <c r="J170" i="18" s="1"/>
  <c r="L170" i="18" s="1"/>
  <c r="N170" i="18" s="1"/>
  <c r="R170" i="18" s="1"/>
  <c r="I147" i="18"/>
  <c r="J147" i="18" s="1"/>
  <c r="L147" i="18" s="1"/>
  <c r="N147" i="18" s="1"/>
  <c r="R147" i="18" s="1"/>
  <c r="I46" i="18"/>
  <c r="J46" i="18" s="1"/>
  <c r="L46" i="18" s="1"/>
  <c r="N46" i="18" s="1"/>
  <c r="R46" i="18" s="1"/>
  <c r="I122" i="18"/>
  <c r="J122" i="18" s="1"/>
  <c r="L122" i="18" s="1"/>
  <c r="N122" i="18" s="1"/>
  <c r="R122" i="18" s="1"/>
  <c r="I194" i="18"/>
  <c r="J194" i="18" s="1"/>
  <c r="L194" i="18" s="1"/>
  <c r="N194" i="18" s="1"/>
  <c r="R194" i="18" s="1"/>
  <c r="I211" i="18"/>
  <c r="J211" i="18" s="1"/>
  <c r="L211" i="18" s="1"/>
  <c r="N211" i="18" s="1"/>
  <c r="R211" i="18" s="1"/>
  <c r="I63" i="18"/>
  <c r="J63" i="18" s="1"/>
  <c r="L63" i="18" s="1"/>
  <c r="N63" i="18" s="1"/>
  <c r="R63" i="18" s="1"/>
  <c r="I167" i="18"/>
  <c r="J167" i="18" s="1"/>
  <c r="L167" i="18" s="1"/>
  <c r="N167" i="18" s="1"/>
  <c r="R167" i="18" s="1"/>
  <c r="I97" i="18"/>
  <c r="J97" i="18" s="1"/>
  <c r="L97" i="18" s="1"/>
  <c r="N97" i="18" s="1"/>
  <c r="R97" i="18" s="1"/>
  <c r="I31" i="18"/>
  <c r="J31" i="18" s="1"/>
  <c r="L31" i="18" s="1"/>
  <c r="N31" i="18" s="1"/>
  <c r="R31" i="18" s="1"/>
  <c r="I176" i="18"/>
  <c r="J176" i="18" s="1"/>
  <c r="L176" i="18" s="1"/>
  <c r="N176" i="18" s="1"/>
  <c r="R176" i="18" s="1"/>
  <c r="I98" i="18"/>
  <c r="J98" i="18" s="1"/>
  <c r="L98" i="18" s="1"/>
  <c r="N98" i="18" s="1"/>
  <c r="R98" i="18" s="1"/>
  <c r="I117" i="18"/>
  <c r="J117" i="18" s="1"/>
  <c r="L117" i="18" s="1"/>
  <c r="N117" i="18" s="1"/>
  <c r="R117" i="18" s="1"/>
  <c r="I184" i="18"/>
  <c r="J184" i="18" s="1"/>
  <c r="L184" i="18" s="1"/>
  <c r="N184" i="18" s="1"/>
  <c r="R184" i="18" s="1"/>
  <c r="I89" i="18"/>
  <c r="J89" i="18" s="1"/>
  <c r="L89" i="18" s="1"/>
  <c r="N89" i="18" s="1"/>
  <c r="R89" i="18" s="1"/>
  <c r="I175" i="18"/>
  <c r="J175" i="18" s="1"/>
  <c r="L175" i="18" s="1"/>
  <c r="N175" i="18" s="1"/>
  <c r="R175" i="18" s="1"/>
  <c r="I54" i="18"/>
  <c r="J54" i="18" s="1"/>
  <c r="L54" i="18" s="1"/>
  <c r="N54" i="18" s="1"/>
  <c r="R54" i="18" s="1"/>
  <c r="I59" i="18"/>
  <c r="J59" i="18" s="1"/>
  <c r="L59" i="18" s="1"/>
  <c r="N59" i="18" s="1"/>
  <c r="R59" i="18" s="1"/>
  <c r="I77" i="18"/>
  <c r="J77" i="18" s="1"/>
  <c r="L77" i="18" s="1"/>
  <c r="N77" i="18" s="1"/>
  <c r="R77" i="18" s="1"/>
  <c r="I180" i="18"/>
  <c r="J180" i="18" s="1"/>
  <c r="L180" i="18" s="1"/>
  <c r="N180" i="18" s="1"/>
  <c r="R180" i="18" s="1"/>
  <c r="I199" i="18"/>
  <c r="J199" i="18" s="1"/>
  <c r="L199" i="18" s="1"/>
  <c r="N199" i="18" s="1"/>
  <c r="R199" i="18" s="1"/>
  <c r="I133" i="18"/>
  <c r="J133" i="18" s="1"/>
  <c r="L133" i="18" s="1"/>
  <c r="N133" i="18" s="1"/>
  <c r="R133" i="18" s="1"/>
  <c r="I99" i="18"/>
  <c r="J99" i="18" s="1"/>
  <c r="L99" i="18" s="1"/>
  <c r="N99" i="18" s="1"/>
  <c r="R99" i="18" s="1"/>
  <c r="I178" i="18"/>
  <c r="J178" i="18" s="1"/>
  <c r="L178" i="18" s="1"/>
  <c r="N178" i="18" s="1"/>
  <c r="R178" i="18" s="1"/>
  <c r="I162" i="18"/>
  <c r="J162" i="18" s="1"/>
  <c r="L162" i="18" s="1"/>
  <c r="N162" i="18" s="1"/>
  <c r="R162" i="18" s="1"/>
  <c r="I60" i="18"/>
  <c r="J60" i="18" s="1"/>
  <c r="L60" i="18" s="1"/>
  <c r="N60" i="18" s="1"/>
  <c r="R60" i="18" s="1"/>
  <c r="I177" i="18"/>
  <c r="J177" i="18" s="1"/>
  <c r="L177" i="18" s="1"/>
  <c r="N177" i="18" s="1"/>
  <c r="R177" i="18" s="1"/>
  <c r="I51" i="18"/>
  <c r="J51" i="18" s="1"/>
  <c r="L51" i="18" s="1"/>
  <c r="N51" i="18" s="1"/>
  <c r="R51" i="18" s="1"/>
  <c r="I69" i="18"/>
  <c r="J69" i="18" s="1"/>
  <c r="L69" i="18" s="1"/>
  <c r="N69" i="18" s="1"/>
  <c r="R69" i="18" s="1"/>
  <c r="I102" i="18"/>
  <c r="J102" i="18" s="1"/>
  <c r="L102" i="18" s="1"/>
  <c r="N102" i="18" s="1"/>
  <c r="R102" i="18" s="1"/>
  <c r="I173" i="18"/>
  <c r="J173" i="18" s="1"/>
  <c r="L173" i="18" s="1"/>
  <c r="N173" i="18" s="1"/>
  <c r="R173" i="18" s="1"/>
  <c r="I148" i="18"/>
  <c r="J148" i="18" s="1"/>
  <c r="L148" i="18" s="1"/>
  <c r="N148" i="18" s="1"/>
  <c r="R148" i="18" s="1"/>
  <c r="I56" i="18"/>
  <c r="J56" i="18" s="1"/>
  <c r="I197" i="18"/>
  <c r="J197" i="18" s="1"/>
  <c r="L197" i="18" s="1"/>
  <c r="N197" i="18" s="1"/>
  <c r="R197" i="18" s="1"/>
  <c r="I138" i="18"/>
  <c r="J138" i="18" s="1"/>
  <c r="L138" i="18" s="1"/>
  <c r="N138" i="18" s="1"/>
  <c r="R138" i="18" s="1"/>
  <c r="I174" i="18"/>
  <c r="J174" i="18" s="1"/>
  <c r="L174" i="18" s="1"/>
  <c r="N174" i="18" s="1"/>
  <c r="R174" i="18" s="1"/>
  <c r="I198" i="18"/>
  <c r="J198" i="18" s="1"/>
  <c r="L198" i="18" s="1"/>
  <c r="N198" i="18" s="1"/>
  <c r="R198" i="18" s="1"/>
  <c r="I112" i="18"/>
  <c r="J112" i="18" s="1"/>
  <c r="L112" i="18" s="1"/>
  <c r="N112" i="18" s="1"/>
  <c r="R112" i="18" s="1"/>
  <c r="I65" i="18"/>
  <c r="J65" i="18" s="1"/>
  <c r="L65" i="18" s="1"/>
  <c r="N65" i="18" s="1"/>
  <c r="R65" i="18" s="1"/>
  <c r="I72" i="18"/>
  <c r="J72" i="18" s="1"/>
  <c r="L72" i="18" s="1"/>
  <c r="N72" i="18" s="1"/>
  <c r="R72" i="18" s="1"/>
  <c r="I125" i="18"/>
  <c r="J125" i="18" s="1"/>
  <c r="L125" i="18" s="1"/>
  <c r="N125" i="18" s="1"/>
  <c r="R125" i="18" s="1"/>
  <c r="I202" i="18"/>
  <c r="J202" i="18" s="1"/>
  <c r="L202" i="18" s="1"/>
  <c r="N202" i="18" s="1"/>
  <c r="R202" i="18" s="1"/>
  <c r="I74" i="18"/>
  <c r="J74" i="18" s="1"/>
  <c r="L74" i="18" s="1"/>
  <c r="N74" i="18" s="1"/>
  <c r="R74" i="18" s="1"/>
  <c r="I88" i="18"/>
  <c r="J88" i="18" s="1"/>
  <c r="L88" i="18" s="1"/>
  <c r="N88" i="18" s="1"/>
  <c r="R88" i="18" s="1"/>
  <c r="I124" i="18"/>
  <c r="J124" i="18" s="1"/>
  <c r="L124" i="18" s="1"/>
  <c r="N124" i="18" s="1"/>
  <c r="R124" i="18" s="1"/>
  <c r="I71" i="18"/>
  <c r="J71" i="18" s="1"/>
  <c r="L71" i="18" s="1"/>
  <c r="N71" i="18" s="1"/>
  <c r="R71" i="18" s="1"/>
  <c r="I30" i="18"/>
  <c r="J30" i="18" s="1"/>
  <c r="L30" i="18" s="1"/>
  <c r="N30" i="18" s="1"/>
  <c r="R30" i="18" s="1"/>
  <c r="I183" i="18"/>
  <c r="J183" i="18" s="1"/>
  <c r="L183" i="18" s="1"/>
  <c r="N183" i="18" s="1"/>
  <c r="R183" i="18" s="1"/>
  <c r="I192" i="18"/>
  <c r="J192" i="18" s="1"/>
  <c r="L192" i="18" s="1"/>
  <c r="N192" i="18" s="1"/>
  <c r="R192" i="18" s="1"/>
  <c r="I49" i="18"/>
  <c r="J49" i="18" s="1"/>
  <c r="L49" i="18" s="1"/>
  <c r="N49" i="18" s="1"/>
  <c r="R49" i="18" s="1"/>
  <c r="I75" i="18"/>
  <c r="J75" i="18" s="1"/>
  <c r="L75" i="18" s="1"/>
  <c r="N75" i="18" s="1"/>
  <c r="R75" i="18" s="1"/>
  <c r="I185" i="18"/>
  <c r="J185" i="18" s="1"/>
  <c r="L185" i="18" s="1"/>
  <c r="N185" i="18" s="1"/>
  <c r="R185" i="18" s="1"/>
  <c r="I107" i="18"/>
  <c r="J107" i="18" s="1"/>
  <c r="L107" i="18" s="1"/>
  <c r="N107" i="18" s="1"/>
  <c r="R107" i="18" s="1"/>
  <c r="I41" i="18"/>
  <c r="J41" i="18" s="1"/>
  <c r="L41" i="18" s="1"/>
  <c r="N41" i="18" s="1"/>
  <c r="R41" i="18" s="1"/>
  <c r="I110" i="18"/>
  <c r="J110" i="18" s="1"/>
  <c r="L110" i="18" s="1"/>
  <c r="N110" i="18" s="1"/>
  <c r="R110" i="18" s="1"/>
  <c r="I157" i="18"/>
  <c r="J157" i="18" s="1"/>
  <c r="L157" i="18" s="1"/>
  <c r="N157" i="18" s="1"/>
  <c r="R157" i="18" s="1"/>
  <c r="F14" i="29"/>
  <c r="I113" i="18"/>
  <c r="J113" i="18" s="1"/>
  <c r="L113" i="18" s="1"/>
  <c r="N113" i="18" s="1"/>
  <c r="R113" i="18" s="1"/>
  <c r="I151" i="18"/>
  <c r="J151" i="18" s="1"/>
  <c r="L151" i="18" s="1"/>
  <c r="N151" i="18" s="1"/>
  <c r="R151" i="18" s="1"/>
  <c r="I26" i="18"/>
  <c r="J26" i="18" s="1"/>
  <c r="L26" i="18" s="1"/>
  <c r="N26" i="18" s="1"/>
  <c r="R26" i="18" s="1"/>
  <c r="I118" i="18"/>
  <c r="J118" i="18" s="1"/>
  <c r="L118" i="18" s="1"/>
  <c r="N118" i="18" s="1"/>
  <c r="R118" i="18" s="1"/>
  <c r="I145" i="18"/>
  <c r="J145" i="18" s="1"/>
  <c r="L145" i="18" s="1"/>
  <c r="N145" i="18" s="1"/>
  <c r="R145" i="18" s="1"/>
  <c r="I33" i="18"/>
  <c r="J33" i="18" s="1"/>
  <c r="L33" i="18" s="1"/>
  <c r="N33" i="18" s="1"/>
  <c r="R33" i="18" s="1"/>
  <c r="I123" i="18"/>
  <c r="J123" i="18" s="1"/>
  <c r="L123" i="18" s="1"/>
  <c r="N123" i="18" s="1"/>
  <c r="R123" i="18" s="1"/>
  <c r="I205" i="18"/>
  <c r="J205" i="18" s="1"/>
  <c r="L205" i="18" s="1"/>
  <c r="N205" i="18" s="1"/>
  <c r="R205" i="18" s="1"/>
  <c r="I200" i="18"/>
  <c r="J200" i="18" s="1"/>
  <c r="L200" i="18" s="1"/>
  <c r="N200" i="18" s="1"/>
  <c r="R200" i="18" s="1"/>
  <c r="I24" i="18"/>
  <c r="J24" i="18" s="1"/>
  <c r="L24" i="18" s="1"/>
  <c r="N24" i="18" s="1"/>
  <c r="R24" i="18" s="1"/>
  <c r="I126" i="18"/>
  <c r="J126" i="18" s="1"/>
  <c r="L126" i="18" s="1"/>
  <c r="N126" i="18" s="1"/>
  <c r="R126" i="18" s="1"/>
  <c r="I114" i="18"/>
  <c r="J114" i="18" s="1"/>
  <c r="L114" i="18" s="1"/>
  <c r="N114" i="18" s="1"/>
  <c r="R114" i="18" s="1"/>
  <c r="I139" i="18"/>
  <c r="J139" i="18" s="1"/>
  <c r="L139" i="18" s="1"/>
  <c r="N139" i="18" s="1"/>
  <c r="R139" i="18" s="1"/>
  <c r="I154" i="18"/>
  <c r="J154" i="18" s="1"/>
  <c r="L154" i="18" s="1"/>
  <c r="N154" i="18" s="1"/>
  <c r="R154" i="18" s="1"/>
  <c r="I181" i="18"/>
  <c r="J181" i="18" s="1"/>
  <c r="L181" i="18" s="1"/>
  <c r="N181" i="18" s="1"/>
  <c r="R181" i="18" s="1"/>
  <c r="I64" i="18"/>
  <c r="J64" i="18" s="1"/>
  <c r="L64" i="18" s="1"/>
  <c r="N64" i="18" s="1"/>
  <c r="R64" i="18" s="1"/>
  <c r="I91" i="18"/>
  <c r="J91" i="18" s="1"/>
  <c r="L91" i="18" s="1"/>
  <c r="N91" i="18" s="1"/>
  <c r="R91" i="18" s="1"/>
  <c r="I87" i="18"/>
  <c r="J87" i="18" s="1"/>
  <c r="L87" i="18" s="1"/>
  <c r="N87" i="18" s="1"/>
  <c r="R87" i="18" s="1"/>
  <c r="I86" i="18"/>
  <c r="J86" i="18" s="1"/>
  <c r="L86" i="18" s="1"/>
  <c r="N86" i="18" s="1"/>
  <c r="R86" i="18" s="1"/>
  <c r="I84" i="18"/>
  <c r="J84" i="18" s="1"/>
  <c r="L84" i="18" s="1"/>
  <c r="N84" i="18" s="1"/>
  <c r="R84" i="18" s="1"/>
  <c r="I131" i="18"/>
  <c r="J131" i="18" s="1"/>
  <c r="L131" i="18" s="1"/>
  <c r="N131" i="18" s="1"/>
  <c r="R131" i="18" s="1"/>
  <c r="I29" i="18"/>
  <c r="J29" i="18" s="1"/>
  <c r="L29" i="18" s="1"/>
  <c r="N29" i="18" s="1"/>
  <c r="R29" i="18" s="1"/>
  <c r="I128" i="18"/>
  <c r="J128" i="18" s="1"/>
  <c r="L128" i="18" s="1"/>
  <c r="N128" i="18" s="1"/>
  <c r="R128" i="18" s="1"/>
  <c r="I160" i="18"/>
  <c r="J160" i="18" s="1"/>
  <c r="L160" i="18" s="1"/>
  <c r="N160" i="18" s="1"/>
  <c r="R160" i="18" s="1"/>
  <c r="I115" i="18"/>
  <c r="J115" i="18" s="1"/>
  <c r="L115" i="18" s="1"/>
  <c r="N115" i="18" s="1"/>
  <c r="R115" i="18" s="1"/>
  <c r="I130" i="18"/>
  <c r="J130" i="18" s="1"/>
  <c r="L130" i="18" s="1"/>
  <c r="N130" i="18" s="1"/>
  <c r="R130" i="18" s="1"/>
  <c r="I136" i="18"/>
  <c r="J136" i="18" s="1"/>
  <c r="L136" i="18" s="1"/>
  <c r="N136" i="18" s="1"/>
  <c r="R136" i="18" s="1"/>
  <c r="I40" i="18"/>
  <c r="J40" i="18" s="1"/>
  <c r="L40" i="18" s="1"/>
  <c r="N40" i="18" s="1"/>
  <c r="R40" i="18" s="1"/>
  <c r="I109" i="18"/>
  <c r="J109" i="18" s="1"/>
  <c r="L109" i="18" s="1"/>
  <c r="N109" i="18" s="1"/>
  <c r="R109" i="18" s="1"/>
  <c r="I166" i="18"/>
  <c r="J166" i="18" s="1"/>
  <c r="L166" i="18" s="1"/>
  <c r="N166" i="18" s="1"/>
  <c r="R166" i="18" s="1"/>
  <c r="I169" i="18"/>
  <c r="J169" i="18" s="1"/>
  <c r="L169" i="18" s="1"/>
  <c r="N169" i="18" s="1"/>
  <c r="R169" i="18" s="1"/>
  <c r="I158" i="18"/>
  <c r="J158" i="18" s="1"/>
  <c r="L158" i="18" s="1"/>
  <c r="N158" i="18" s="1"/>
  <c r="R158" i="18" s="1"/>
  <c r="I121" i="18"/>
  <c r="J121" i="18" s="1"/>
  <c r="L121" i="18" s="1"/>
  <c r="N121" i="18" s="1"/>
  <c r="R121" i="18" s="1"/>
  <c r="I164" i="18"/>
  <c r="J164" i="18" s="1"/>
  <c r="L164" i="18" s="1"/>
  <c r="N164" i="18" s="1"/>
  <c r="R164" i="18" s="1"/>
  <c r="I106" i="18"/>
  <c r="J106" i="18" s="1"/>
  <c r="L106" i="18" s="1"/>
  <c r="N106" i="18" s="1"/>
  <c r="R106" i="18" s="1"/>
  <c r="I201" i="18"/>
  <c r="J201" i="18" s="1"/>
  <c r="L201" i="18" s="1"/>
  <c r="N201" i="18" s="1"/>
  <c r="R201" i="18" s="1"/>
  <c r="I94" i="18"/>
  <c r="J94" i="18" s="1"/>
  <c r="L94" i="18" s="1"/>
  <c r="N94" i="18" s="1"/>
  <c r="R94" i="18" s="1"/>
  <c r="I20" i="18"/>
  <c r="J20" i="18" s="1"/>
  <c r="I155" i="18"/>
  <c r="J155" i="18" s="1"/>
  <c r="L155" i="18" s="1"/>
  <c r="N155" i="18" s="1"/>
  <c r="R155" i="18" s="1"/>
  <c r="I80" i="18"/>
  <c r="J80" i="18" s="1"/>
  <c r="L80" i="18" s="1"/>
  <c r="N80" i="18" s="1"/>
  <c r="R80" i="18" s="1"/>
  <c r="I168" i="18"/>
  <c r="J168" i="18" s="1"/>
  <c r="L168" i="18" s="1"/>
  <c r="N168" i="18" s="1"/>
  <c r="R168" i="18" s="1"/>
  <c r="I156" i="18"/>
  <c r="J156" i="18" s="1"/>
  <c r="L156" i="18" s="1"/>
  <c r="N156" i="18" s="1"/>
  <c r="R156" i="18" s="1"/>
  <c r="I191" i="18"/>
  <c r="J191" i="18" s="1"/>
  <c r="L191" i="18" s="1"/>
  <c r="N191" i="18" s="1"/>
  <c r="R191" i="18" s="1"/>
  <c r="I152" i="18"/>
  <c r="J152" i="18" s="1"/>
  <c r="L152" i="18" s="1"/>
  <c r="N152" i="18" s="1"/>
  <c r="R152" i="18" s="1"/>
  <c r="I132" i="18"/>
  <c r="J132" i="18" s="1"/>
  <c r="L132" i="18" s="1"/>
  <c r="N132" i="18" s="1"/>
  <c r="R132" i="18" s="1"/>
  <c r="I27" i="18"/>
  <c r="J27" i="18" s="1"/>
  <c r="L27" i="18" s="1"/>
  <c r="N27" i="18" s="1"/>
  <c r="R27" i="18" s="1"/>
  <c r="I39" i="18"/>
  <c r="J39" i="18" s="1"/>
  <c r="L39" i="18" s="1"/>
  <c r="N39" i="18" s="1"/>
  <c r="R39" i="18" s="1"/>
  <c r="I104" i="18"/>
  <c r="J104" i="18" s="1"/>
  <c r="L104" i="18" s="1"/>
  <c r="N104" i="18" s="1"/>
  <c r="R104" i="18" s="1"/>
  <c r="I108" i="18"/>
  <c r="J108" i="18" s="1"/>
  <c r="L108" i="18" s="1"/>
  <c r="N108" i="18" s="1"/>
  <c r="R108" i="18" s="1"/>
  <c r="I187" i="18"/>
  <c r="J187" i="18" s="1"/>
  <c r="L187" i="18" s="1"/>
  <c r="N187" i="18" s="1"/>
  <c r="R187" i="18" s="1"/>
  <c r="I137" i="18"/>
  <c r="J137" i="18" s="1"/>
  <c r="L137" i="18" s="1"/>
  <c r="N137" i="18" s="1"/>
  <c r="R137" i="18" s="1"/>
  <c r="I95" i="18"/>
  <c r="J95" i="18" s="1"/>
  <c r="L95" i="18" s="1"/>
  <c r="N95" i="18" s="1"/>
  <c r="R95" i="18" s="1"/>
  <c r="I68" i="18"/>
  <c r="J68" i="18" s="1"/>
  <c r="L68" i="18" s="1"/>
  <c r="N68" i="18" s="1"/>
  <c r="R68" i="18" s="1"/>
  <c r="I53" i="18"/>
  <c r="J53" i="18" s="1"/>
  <c r="L53" i="18" s="1"/>
  <c r="N53" i="18" s="1"/>
  <c r="R53" i="18" s="1"/>
  <c r="I129" i="18"/>
  <c r="J129" i="18" s="1"/>
  <c r="L129" i="18" s="1"/>
  <c r="N129" i="18" s="1"/>
  <c r="R129" i="18" s="1"/>
  <c r="I48" i="18"/>
  <c r="J48" i="18" s="1"/>
  <c r="L48" i="18" s="1"/>
  <c r="N48" i="18" s="1"/>
  <c r="R48" i="18" s="1"/>
  <c r="I21" i="18"/>
  <c r="J21" i="18" s="1"/>
  <c r="L21" i="18" s="1"/>
  <c r="N21" i="18" s="1"/>
  <c r="R21" i="18" s="1"/>
  <c r="I100" i="18"/>
  <c r="J100" i="18" s="1"/>
  <c r="L100" i="18" s="1"/>
  <c r="N100" i="18" s="1"/>
  <c r="R100" i="18" s="1"/>
  <c r="I190" i="18"/>
  <c r="J190" i="18" s="1"/>
  <c r="L190" i="18" s="1"/>
  <c r="N190" i="18" s="1"/>
  <c r="R190" i="18" s="1"/>
  <c r="I52" i="18"/>
  <c r="J52" i="18" s="1"/>
  <c r="L52" i="18" s="1"/>
  <c r="N52" i="18" s="1"/>
  <c r="R52" i="18" s="1"/>
  <c r="I90" i="18"/>
  <c r="J90" i="18" s="1"/>
  <c r="L90" i="18" s="1"/>
  <c r="N90" i="18" s="1"/>
  <c r="R90" i="18" s="1"/>
  <c r="I159" i="18"/>
  <c r="J159" i="18" s="1"/>
  <c r="L159" i="18" s="1"/>
  <c r="N159" i="18" s="1"/>
  <c r="R159" i="18" s="1"/>
  <c r="I45" i="18"/>
  <c r="J45" i="18" s="1"/>
  <c r="L45" i="18" s="1"/>
  <c r="N45" i="18" s="1"/>
  <c r="R45" i="18" s="1"/>
  <c r="I143" i="18"/>
  <c r="J143" i="18" s="1"/>
  <c r="L143" i="18" s="1"/>
  <c r="N143" i="18" s="1"/>
  <c r="R143" i="18" s="1"/>
  <c r="I93" i="18"/>
  <c r="J93" i="18" s="1"/>
  <c r="L93" i="18" s="1"/>
  <c r="N93" i="18" s="1"/>
  <c r="R93" i="18" s="1"/>
  <c r="I150" i="18"/>
  <c r="J150" i="18" s="1"/>
  <c r="L150" i="18" s="1"/>
  <c r="N150" i="18" s="1"/>
  <c r="R150" i="18" s="1"/>
  <c r="I35" i="18"/>
  <c r="J35" i="18" s="1"/>
  <c r="L35" i="18" s="1"/>
  <c r="N35" i="18" s="1"/>
  <c r="R35" i="18" s="1"/>
  <c r="I101" i="18"/>
  <c r="J101" i="18" s="1"/>
  <c r="L101" i="18" s="1"/>
  <c r="N101" i="18" s="1"/>
  <c r="R101" i="18" s="1"/>
  <c r="I70" i="18"/>
  <c r="J70" i="18" s="1"/>
  <c r="L70" i="18" s="1"/>
  <c r="N70" i="18" s="1"/>
  <c r="R70" i="18" s="1"/>
  <c r="I58" i="18"/>
  <c r="J58" i="18" s="1"/>
  <c r="L58" i="18" s="1"/>
  <c r="N58" i="18" s="1"/>
  <c r="R58" i="18" s="1"/>
  <c r="I208" i="18"/>
  <c r="J208" i="18" s="1"/>
  <c r="L208" i="18" s="1"/>
  <c r="N208" i="18" s="1"/>
  <c r="R208" i="18" s="1"/>
  <c r="I25" i="18"/>
  <c r="J25" i="18" s="1"/>
  <c r="L25" i="18" s="1"/>
  <c r="N25" i="18" s="1"/>
  <c r="R25" i="18" s="1"/>
  <c r="I83" i="18"/>
  <c r="J83" i="18" s="1"/>
  <c r="L83" i="18" s="1"/>
  <c r="N83" i="18" s="1"/>
  <c r="R83" i="18" s="1"/>
  <c r="I186" i="18"/>
  <c r="J186" i="18" s="1"/>
  <c r="L186" i="18" s="1"/>
  <c r="N186" i="18" s="1"/>
  <c r="R186" i="18" s="1"/>
  <c r="I188" i="18"/>
  <c r="J188" i="18" s="1"/>
  <c r="L188" i="18" s="1"/>
  <c r="N188" i="18" s="1"/>
  <c r="R188" i="18" s="1"/>
  <c r="I38" i="18"/>
  <c r="J38" i="18" s="1"/>
  <c r="L38" i="18" s="1"/>
  <c r="N38" i="18" s="1"/>
  <c r="R38" i="18" s="1"/>
  <c r="I195" i="18"/>
  <c r="J195" i="18" s="1"/>
  <c r="L195" i="18" s="1"/>
  <c r="N195" i="18" s="1"/>
  <c r="R195" i="18" s="1"/>
  <c r="I79" i="18"/>
  <c r="J79" i="18" s="1"/>
  <c r="L79" i="18" s="1"/>
  <c r="N79" i="18" s="1"/>
  <c r="R79" i="18" s="1"/>
  <c r="I153" i="18"/>
  <c r="J153" i="18" s="1"/>
  <c r="L153" i="18" s="1"/>
  <c r="N153" i="18" s="1"/>
  <c r="R153" i="18" s="1"/>
  <c r="I47" i="18"/>
  <c r="J47" i="18" s="1"/>
  <c r="L47" i="18" s="1"/>
  <c r="N47" i="18" s="1"/>
  <c r="R47" i="18" s="1"/>
  <c r="I66" i="18"/>
  <c r="J66" i="18" s="1"/>
  <c r="L66" i="18" s="1"/>
  <c r="N66" i="18" s="1"/>
  <c r="R66" i="18" s="1"/>
  <c r="I34" i="18"/>
  <c r="J34" i="18" s="1"/>
  <c r="L34" i="18" s="1"/>
  <c r="N34" i="18" s="1"/>
  <c r="R34" i="18" s="1"/>
  <c r="I127" i="18"/>
  <c r="J127" i="18" s="1"/>
  <c r="L127" i="18" s="1"/>
  <c r="N127" i="18" s="1"/>
  <c r="R127" i="18" s="1"/>
  <c r="I196" i="18"/>
  <c r="J196" i="18" s="1"/>
  <c r="L196" i="18" s="1"/>
  <c r="N196" i="18" s="1"/>
  <c r="R196" i="18" s="1"/>
  <c r="I146" i="18"/>
  <c r="J146" i="18" s="1"/>
  <c r="L146" i="18" s="1"/>
  <c r="N146" i="18" s="1"/>
  <c r="R146" i="18" s="1"/>
  <c r="I96" i="18"/>
  <c r="J96" i="18" s="1"/>
  <c r="L96" i="18" s="1"/>
  <c r="N96" i="18" s="1"/>
  <c r="R96" i="18" s="1"/>
  <c r="I141" i="18"/>
  <c r="J141" i="18" s="1"/>
  <c r="L141" i="18" s="1"/>
  <c r="N141" i="18" s="1"/>
  <c r="R141" i="18" s="1"/>
  <c r="I209" i="18"/>
  <c r="J209" i="18" s="1"/>
  <c r="L209" i="18" s="1"/>
  <c r="N209" i="18" s="1"/>
  <c r="R209" i="18" s="1"/>
  <c r="I206" i="18"/>
  <c r="J206" i="18" s="1"/>
  <c r="L206" i="18" s="1"/>
  <c r="N206" i="18" s="1"/>
  <c r="R206" i="18" s="1"/>
  <c r="I78" i="18"/>
  <c r="J78" i="18" s="1"/>
  <c r="L78" i="18" s="1"/>
  <c r="N78" i="18" s="1"/>
  <c r="R78" i="18" s="1"/>
  <c r="I207" i="18"/>
  <c r="J207" i="18" s="1"/>
  <c r="L207" i="18" s="1"/>
  <c r="N207" i="18" s="1"/>
  <c r="R207" i="18" s="1"/>
  <c r="I140" i="18"/>
  <c r="J140" i="18" s="1"/>
  <c r="L140" i="18" s="1"/>
  <c r="N140" i="18" s="1"/>
  <c r="R140" i="18" s="1"/>
  <c r="I119" i="18"/>
  <c r="J119" i="18" s="1"/>
  <c r="L119" i="18" s="1"/>
  <c r="N119" i="18" s="1"/>
  <c r="R119" i="18" s="1"/>
  <c r="I203" i="18"/>
  <c r="J203" i="18" s="1"/>
  <c r="L203" i="18" s="1"/>
  <c r="N203" i="18" s="1"/>
  <c r="R203" i="18" s="1"/>
  <c r="I76" i="18"/>
  <c r="J76" i="18" s="1"/>
  <c r="L76" i="18" s="1"/>
  <c r="N76" i="18" s="1"/>
  <c r="R76" i="18" s="1"/>
  <c r="J212" i="18" l="1"/>
  <c r="J14" i="18"/>
  <c r="L20" i="18"/>
  <c r="L56" i="18"/>
  <c r="J13" i="18"/>
  <c r="L212" i="18" l="1"/>
  <c r="L14" i="18"/>
  <c r="N20" i="18"/>
  <c r="L13" i="18"/>
  <c r="N56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<sst xmlns="http://schemas.openxmlformats.org/spreadsheetml/2006/main" count="422" uniqueCount="104">
  <si>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</si>
  <si>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</si>
  <si>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</si>
  <si>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</si>
  <si>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</si>
  <si>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</si>
  <si>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</si>
  <si>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</si>
  <si>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</si>
  <si>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</si>
  <si>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</si>
  <si>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</si>
  <si>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</si>
  <si>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</si>
  <si>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</si>
  <si>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</si>
  <si>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</si>
  <si>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</si>
  <si>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</si>
  <si>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</si>
  <si>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</si>
  <si>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</si>
  <si>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</si>
  <si>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</si>
  <si>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</si>
  <si>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</si>
  <si>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</si>
  <si>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</si>
  <si>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</si>
  <si>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</si>
  <si>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</si>
  <si>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</si>
  <si>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</si>
  <si>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</si>
  <si>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</si>
  <si>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</si>
  <si>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</si>
  <si>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</si>
  <si>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</si>
  <si>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</si>
  <si>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</si>
  <si>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</si>
  <si>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</si>
  <si>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</si>
  <si>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</si>
  <si>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</si>
  <si>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</si>
  <si>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</si>
  <si>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</si>
  <si>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</si>
  <si>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</si>
  <si>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</si>
  <si>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</si>
  <si>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</si>
  <si>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</si>
  <si>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</si>
  <si>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</si>
  <si>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</si>
  <si>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</si>
  <si>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</si>
  <si>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</si>
  <si>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</si>
  <si>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</si>
  <si>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</si>
  <si>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</si>
  <si>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</si>
  <si>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</si>
  <si>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</si>
  <si>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</si>
  <si>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</si>
  <si>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</si>
  <si>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</si>
  <si>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</si>
  <si>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</si>
  <si>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</si>
  <si>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</si>
  <si>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</si>
  <si>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</si>
  <si>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</si>
  <si>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</si>
  <si>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</si>
  <si>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</si>
  <si>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</si>
  <si>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</si>
  <si>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</si>
  <si>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</si>
  <si>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</si>
  <si>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</si>
  <si>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</si>
  <si>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</si>
  <si>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</si>
  <si>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</si>
  <si>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</si>
  <si>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</si>
  <si>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</si>
  <si>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</si>
  <si>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</si>
  <si>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</si>
  <si>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</si>
  <si>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</si>
  <si>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</si>
  <si>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2019 True Up Including Interest</t>
  </si>
  <si>
    <t>Total NITS Surcharge / Refund</t>
  </si>
  <si>
    <t>Network Customer True-Up (Schedule 1 charges)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</si>
</sst>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164" fontId="4" fillId="0" borderId="24" xfId="0" quotePrefix="1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quotePrefix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7" fontId="1" fillId="0" borderId="36" xfId="0" applyNumberFormat="1" applyFont="1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013.580081018517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19-12-02T00:00:00" count="120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14-08-01T00:00:00" u="1"/>
        <d v="2015-08-01T00:00:00" u="1"/>
        <d v="2016-08-01T00:00:00" u="1"/>
        <d v="2010-07-01T00:00:00" u="1"/>
        <d v="2017-08-01T00:00:00" u="1"/>
        <d v="2011-07-01T00:00:00" u="1"/>
        <d v="2018-08-01T00:00:00" u="1"/>
        <d v="2012-07-01T00:00:00" u="1"/>
        <d v="2013-07-01T00:00:00" u="1"/>
        <d v="2014-07-01T00:00:00" u="1"/>
        <d v="2015-07-01T00:00:00" u="1"/>
        <d v="2016-07-01T00:00:00" u="1"/>
        <d v="2010-06-01T00:00:00" u="1"/>
        <d v="2017-07-01T00:00:00" u="1"/>
        <d v="2011-06-01T00:00:00" u="1"/>
        <d v="2018-07-01T00:00:00" u="1"/>
        <d v="2012-06-01T00:00:00" u="1"/>
        <d v="2013-06-01T00:00:00" u="1"/>
        <d v="2014-06-01T00:00:00" u="1"/>
        <d v="2015-06-01T00:00:00" u="1"/>
        <d v="2016-06-01T00:00:00" u="1"/>
        <d v="2010-05-01T00:00:00" u="1"/>
        <d v="2017-06-01T00:00:00" u="1"/>
        <d v="2011-05-01T00:00:00" u="1"/>
        <d v="2018-06-01T00:00:00" u="1"/>
        <d v="2012-05-01T00:00:00" u="1"/>
        <d v="2013-05-01T00:00:00" u="1"/>
        <d v="2014-05-01T00:00:00" u="1"/>
        <d v="2015-05-01T00:00:00" u="1"/>
        <d v="2016-05-01T00:00:00" u="1"/>
        <d v="2010-04-01T00:00:00" u="1"/>
        <d v="2017-05-01T00:00:00" u="1"/>
        <d v="2011-04-01T00:00:00" u="1"/>
        <d v="2018-05-01T00:00:00" u="1"/>
        <d v="2012-04-01T00:00:00" u="1"/>
        <d v="2013-04-01T00:00:00" u="1"/>
        <d v="2014-04-01T00:00:00" u="1"/>
        <d v="2015-04-01T00:00:00" u="1"/>
        <d v="2016-04-01T00:00:00" u="1"/>
        <d v="2010-03-01T00:00:00" u="1"/>
        <d v="2017-04-01T00:00:00" u="1"/>
        <d v="2011-03-01T00:00:00" u="1"/>
        <d v="2018-04-01T00:00:00" u="1"/>
        <d v="2012-03-01T00:00:00" u="1"/>
        <d v="2013-03-01T00:00:00" u="1"/>
        <d v="2014-03-01T00:00:00" u="1"/>
        <d v="2015-03-01T00:00:00" u="1"/>
        <d v="2016-03-01T00:00:00" u="1"/>
        <d v="2010-02-01T00:00:00" u="1"/>
        <d v="2017-03-01T00:00:00" u="1"/>
        <d v="2010-12-01T00:00:00" u="1"/>
        <d v="2011-02-01T00:00:00" u="1"/>
        <d v="2018-03-01T00:00:00" u="1"/>
        <d v="2011-12-01T00:00:00" u="1"/>
        <d v="2012-02-01T00:00:00" u="1"/>
        <d v="2012-12-01T00:00:00" u="1"/>
        <d v="2013-02-01T00:00:00" u="1"/>
        <d v="2013-12-01T00:00:00" u="1"/>
        <d v="2014-02-01T00:00:00" u="1"/>
        <d v="2014-12-01T00:00:00" u="1"/>
        <d v="2015-02-01T00:00:00" u="1"/>
        <d v="2015-12-01T00:00:00" u="1"/>
        <d v="2016-02-01T00:00:00" u="1"/>
        <d v="2010-01-01T00:00:00" u="1"/>
        <d v="2016-12-01T00:00:00" u="1"/>
        <d v="2017-02-01T00:00:00" u="1"/>
        <d v="2010-11-01T00:00:00" u="1"/>
        <d v="2011-01-01T00:00:00" u="1"/>
        <d v="2017-12-01T00:00:00" u="1"/>
        <d v="2018-02-01T00:00:00" u="1"/>
        <d v="2011-11-01T00:00:00" u="1"/>
        <d v="2012-01-01T00:00:00" u="1"/>
        <d v="2018-12-01T00:00:00" u="1"/>
        <d v="2012-11-01T00:00:00" u="1"/>
        <d v="2013-01-01T00:00:00" u="1"/>
        <d v="2013-11-01T00:00:00" u="1"/>
        <d v="2014-01-01T00:00:00" u="1"/>
        <d v="2014-11-01T00:00:00" u="1"/>
        <d v="2015-01-01T00:00:00" u="1"/>
        <d v="2015-11-01T00:00:00" u="1"/>
        <d v="2016-01-01T00:00:00" u="1"/>
        <d v="2016-11-01T00:00:00" u="1"/>
        <d v="2017-01-01T00:00:00" u="1"/>
        <d v="2010-10-01T00:00:00" u="1"/>
        <d v="2017-11-01T00:00:00" u="1"/>
        <d v="2018-01-01T00:00:00" u="1"/>
        <d v="2011-10-01T00:00:00" u="1"/>
        <d v="2018-11-01T00:00:00" u="1"/>
        <d v="2012-10-01T00:00:00" u="1"/>
        <d v="2013-10-01T00:00:00" u="1"/>
        <d v="2014-10-01T00:00:00" u="1"/>
        <d v="2015-10-01T00:00:00" u="1"/>
        <d v="2016-10-01T00:00:00" u="1"/>
        <d v="2010-09-01T00:00:00" u="1"/>
        <d v="2017-10-01T00:00:00" u="1"/>
        <d v="2011-09-01T00:00:00" u="1"/>
        <d v="2018-10-01T00:00:00" u="1"/>
        <d v="2012-09-01T00:00:00" u="1"/>
        <d v="2013-09-01T00:00:00" u="1"/>
        <d v="2014-09-01T00:00:00" u="1"/>
        <d v="2015-09-01T00:00:00" u="1"/>
        <d v="2016-09-01T00:00:00" u="1"/>
        <d v="2010-08-01T00:00:00" u="1"/>
        <d v="2017-09-01T00:00:00" u="1"/>
        <d v="2011-08-01T00:00:00" u="1"/>
        <d v="2018-09-01T00:00:00" u="1"/>
        <d v="2012-08-01T00:00:00" u="1"/>
        <d v="2013-08-01T00:00:00" u="1"/>
      </sharedItems>
    </cacheField>
    <cacheField name="Billing_x000a_Date*" numFmtId="14">
      <sharedItems containsSemiMixedTypes="0" containsNonDate="0" containsDate="1" containsString="0" minDate="2019-02-05T00:00:00" maxDate="2020-01-04T00:00:00"/>
    </cacheField>
    <cacheField name="Payment Received*" numFmtId="14">
      <sharedItems containsSemiMixedTypes="0" containsNonDate="0" containsDate="1" containsString="0" minDate="2019-02-20T00:00:00" maxDate="2020-01-21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89"/>
    </cacheField>
    <cacheField name="Projected Rate (as Invoiced)" numFmtId="164">
      <sharedItems containsSemiMixedTypes="0" containsString="0" containsNumber="1" minValue="3.4452834394041285" maxValue="3.4452834394041285"/>
    </cacheField>
    <cacheField name="Actual True-Up Rate" numFmtId="164">
      <sharedItems containsSemiMixedTypes="0" containsString="0" containsNumber="1" minValue="6.3301120928520218" maxValue="6.3301120928520218"/>
    </cacheField>
    <cacheField name="True-Up Charge" numFmtId="164">
      <sharedItems containsSemiMixedTypes="0" containsString="0" containsNumber="1" minValue="6.3301120928520218" maxValue="25883.828347671919"/>
    </cacheField>
    <cacheField name="Invoiced*** Charge (proj.)" numFmtId="164">
      <sharedItems containsSemiMixedTypes="0" containsString="0" containsNumber="1" minValue="3.4452834394041285" maxValue="14087.763983723482"/>
    </cacheField>
    <cacheField name="True-Up w/o Interest" numFmtId="164">
      <sharedItems containsSemiMixedTypes="0" containsString="0" containsNumber="1" minValue="2.8848286534478933" maxValue="11796.064363948437"/>
    </cacheField>
    <cacheField name="Interest" numFmtId="164">
      <sharedItems containsSemiMixedTypes="0" containsString="0" containsNumber="1" minValue="0.14496393941745345" maxValue="592.75754827796709"/>
    </cacheField>
    <cacheField name="2019 True Up Including Interest" numFmtId="164">
      <sharedItems containsSemiMixedTypes="0" containsString="0" containsNumber="1" minValue="3.0297925928653466" maxValue="12388.82191222640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3.0297925928653466" maxValue="12388.8219122264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19-02-05T00:00:00"/>
    <d v="2019-02-20T00:00:00"/>
    <x v="0"/>
    <n v="9"/>
    <n v="2561"/>
    <n v="3.4452834394041285"/>
    <n v="6.3301120928520218"/>
    <n v="16211.417069794028"/>
    <n v="8823.3708883139734"/>
    <n v="7388.0461814800547"/>
    <n v="371.25264884809826"/>
    <n v="7759.2988303281527"/>
    <n v="0"/>
    <n v="0"/>
    <n v="0"/>
    <n v="7759.2988303281527"/>
  </r>
  <r>
    <x v="1"/>
    <d v="2019-03-05T00:00:00"/>
    <d v="2019-03-20T00:00:00"/>
    <x v="0"/>
    <n v="9"/>
    <n v="2792"/>
    <n v="3.4452834394041285"/>
    <n v="6.3301120928520218"/>
    <n v="17673.672963242843"/>
    <n v="9619.2313628163265"/>
    <n v="8054.4416004265167"/>
    <n v="404.73931885352994"/>
    <n v="8459.1809192800465"/>
    <n v="0"/>
    <n v="0"/>
    <n v="0"/>
    <n v="8459.1809192800465"/>
  </r>
  <r>
    <x v="2"/>
    <d v="2019-04-03T00:00:00"/>
    <d v="2019-04-18T00:00:00"/>
    <x v="0"/>
    <n v="9"/>
    <n v="2805"/>
    <n v="3.4452834394041285"/>
    <n v="6.3301120928520218"/>
    <n v="17755.96442044992"/>
    <n v="9664.0200475285801"/>
    <n v="8091.9443729213399"/>
    <n v="406.62385006595684"/>
    <n v="8498.5682229872964"/>
    <n v="0"/>
    <n v="0"/>
    <n v="0"/>
    <n v="8498.5682229872964"/>
  </r>
  <r>
    <x v="3"/>
    <d v="2019-05-03T00:00:00"/>
    <d v="2019-05-20T00:00:00"/>
    <x v="0"/>
    <n v="9"/>
    <n v="2574"/>
    <n v="3.4452834394041285"/>
    <n v="6.3301120928520218"/>
    <n v="16293.708527001105"/>
    <n v="8868.159573026227"/>
    <n v="7425.5489539748778"/>
    <n v="373.13718006052517"/>
    <n v="7798.6861340354026"/>
    <n v="0"/>
    <n v="0"/>
    <n v="0"/>
    <n v="7798.6861340354026"/>
  </r>
  <r>
    <x v="4"/>
    <d v="2019-06-05T00:00:00"/>
    <d v="2019-06-20T00:00:00"/>
    <x v="0"/>
    <n v="9"/>
    <n v="2970"/>
    <n v="3.4452834394041285"/>
    <n v="6.3301120928520218"/>
    <n v="18800.432915770503"/>
    <n v="10232.491815030262"/>
    <n v="8567.9411007402414"/>
    <n v="430.54290006983672"/>
    <n v="8998.4840008100782"/>
    <n v="0"/>
    <n v="0"/>
    <n v="0"/>
    <n v="8998.4840008100782"/>
  </r>
  <r>
    <x v="5"/>
    <d v="2019-07-03T00:00:00"/>
    <d v="2019-07-18T00:00:00"/>
    <x v="0"/>
    <n v="9"/>
    <n v="3724"/>
    <n v="3.4452834394041285"/>
    <n v="6.3301120928520218"/>
    <n v="23573.337433780929"/>
    <n v="12830.235528340974"/>
    <n v="10743.101905439955"/>
    <n v="539.84571039059654"/>
    <n v="11282.947615830552"/>
    <n v="0"/>
    <n v="0"/>
    <n v="0"/>
    <n v="11282.947615830552"/>
  </r>
  <r>
    <x v="6"/>
    <d v="2019-08-05T00:00:00"/>
    <d v="2019-08-20T00:00:00"/>
    <x v="0"/>
    <n v="9"/>
    <n v="3923"/>
    <n v="3.4452834394041285"/>
    <n v="6.3301120928520218"/>
    <n v="24833.02974025848"/>
    <n v="13515.846932782397"/>
    <n v="11317.182807476083"/>
    <n v="568.69353433466983"/>
    <n v="11885.876341810754"/>
    <n v="0"/>
    <n v="0"/>
    <n v="0"/>
    <n v="11885.876341810754"/>
  </r>
  <r>
    <x v="7"/>
    <d v="2019-09-04T00:00:00"/>
    <d v="2019-09-19T00:00:00"/>
    <x v="0"/>
    <n v="9"/>
    <n v="4089"/>
    <n v="3.4452834394041285"/>
    <n v="6.3301120928520218"/>
    <n v="25883.828347671919"/>
    <n v="14087.763983723482"/>
    <n v="11796.064363948437"/>
    <n v="592.75754827796709"/>
    <n v="12388.821912226404"/>
    <n v="0"/>
    <n v="0"/>
    <n v="0"/>
    <n v="12388.821912226404"/>
  </r>
  <r>
    <x v="8"/>
    <d v="2019-10-03T00:00:00"/>
    <d v="2019-10-18T00:00:00"/>
    <x v="0"/>
    <n v="9"/>
    <n v="3731"/>
    <n v="3.4452834394041285"/>
    <n v="6.3301120928520218"/>
    <n v="23617.648218430892"/>
    <n v="12854.352512416803"/>
    <n v="10763.295706014089"/>
    <n v="540.86045796651877"/>
    <n v="11304.156163980608"/>
    <n v="0"/>
    <n v="0"/>
    <n v="0"/>
    <n v="11304.156163980608"/>
  </r>
  <r>
    <x v="9"/>
    <d v="2019-11-05T00:00:00"/>
    <d v="2019-11-20T00:00:00"/>
    <x v="0"/>
    <n v="9"/>
    <n v="3527"/>
    <n v="3.4452834394041285"/>
    <n v="6.3301120928520218"/>
    <n v="22326.305351489082"/>
    <n v="12151.514690778362"/>
    <n v="10174.79066071072"/>
    <n v="511.28781432535828"/>
    <n v="10686.078475036078"/>
    <n v="0"/>
    <n v="0"/>
    <n v="0"/>
    <n v="10686.078475036078"/>
  </r>
  <r>
    <x v="10"/>
    <d v="2019-12-04T00:00:00"/>
    <d v="2019-12-19T00:00:00"/>
    <x v="0"/>
    <n v="9"/>
    <n v="2569"/>
    <n v="3.4452834394041285"/>
    <n v="6.3301120928520218"/>
    <n v="16262.057966536844"/>
    <n v="8850.933155829207"/>
    <n v="7411.1248107076372"/>
    <n v="372.41236036343781"/>
    <n v="7783.5371710710751"/>
    <n v="0"/>
    <n v="0"/>
    <n v="0"/>
    <n v="7783.5371710710751"/>
  </r>
  <r>
    <x v="11"/>
    <d v="2020-01-03T00:00:00"/>
    <d v="2020-01-20T00:00:00"/>
    <x v="0"/>
    <n v="9"/>
    <n v="2599"/>
    <n v="3.4452834394041285"/>
    <n v="6.3301120928520218"/>
    <n v="16451.961329322403"/>
    <n v="8954.2916590113291"/>
    <n v="7497.6696703110738"/>
    <n v="376.76127854596149"/>
    <n v="7874.4309488570352"/>
    <n v="0"/>
    <n v="0"/>
    <n v="0"/>
    <n v="7874.4309488570352"/>
  </r>
  <r>
    <x v="0"/>
    <d v="2019-02-05T00:00:00"/>
    <d v="2019-02-20T00:00:00"/>
    <x v="1"/>
    <n v="9"/>
    <n v="2997"/>
    <n v="3.4452834394041285"/>
    <n v="6.3301120928520218"/>
    <n v="18971.345942277509"/>
    <n v="10325.514467894172"/>
    <n v="8645.8314743833362"/>
    <n v="434.45692643410791"/>
    <n v="9080.2884008174442"/>
    <n v="0"/>
    <n v="0"/>
    <n v="0"/>
    <n v="9080.2884008174442"/>
  </r>
  <r>
    <x v="1"/>
    <d v="2019-03-05T00:00:00"/>
    <d v="2019-03-20T00:00:00"/>
    <x v="1"/>
    <n v="9"/>
    <n v="2891"/>
    <n v="3.4452834394041285"/>
    <n v="6.3301120928520218"/>
    <n v="18300.354060435195"/>
    <n v="9960.3144233173352"/>
    <n v="8340.0396371178595"/>
    <n v="419.0907488558579"/>
    <n v="8759.1303859737181"/>
    <n v="0"/>
    <n v="0"/>
    <n v="0"/>
    <n v="8759.1303859737181"/>
  </r>
  <r>
    <x v="2"/>
    <d v="2019-04-03T00:00:00"/>
    <d v="2019-04-18T00:00:00"/>
    <x v="1"/>
    <n v="9"/>
    <n v="2972"/>
    <n v="3.4452834394041285"/>
    <n v="6.3301120928520218"/>
    <n v="18813.093139956211"/>
    <n v="10239.38238190907"/>
    <n v="8573.7107580471402"/>
    <n v="430.83282794867159"/>
    <n v="9004.5435859958125"/>
    <n v="0"/>
    <n v="0"/>
    <n v="0"/>
    <n v="9004.5435859958125"/>
  </r>
  <r>
    <x v="3"/>
    <d v="2019-05-03T00:00:00"/>
    <d v="2019-05-20T00:00:00"/>
    <x v="1"/>
    <n v="9"/>
    <n v="2449"/>
    <n v="3.4452834394041285"/>
    <n v="6.3301120928520218"/>
    <n v="15502.444515394602"/>
    <n v="8437.4991431007111"/>
    <n v="7064.9453722938906"/>
    <n v="355.01668763334345"/>
    <n v="7419.9620599272339"/>
    <n v="0"/>
    <n v="0"/>
    <n v="0"/>
    <n v="7419.9620599272339"/>
  </r>
  <r>
    <x v="4"/>
    <d v="2019-06-05T00:00:00"/>
    <d v="2019-06-20T00:00:00"/>
    <x v="1"/>
    <n v="9"/>
    <n v="3052"/>
    <n v="3.4452834394041285"/>
    <n v="6.3301120928520218"/>
    <n v="19319.502107384371"/>
    <n v="10515.0050570614"/>
    <n v="8804.4970503229706"/>
    <n v="442.42994310206785"/>
    <n v="9246.9269934250387"/>
    <n v="0"/>
    <n v="0"/>
    <n v="0"/>
    <n v="9246.9269934250387"/>
  </r>
  <r>
    <x v="5"/>
    <d v="2019-07-03T00:00:00"/>
    <d v="2019-07-18T00:00:00"/>
    <x v="1"/>
    <n v="9"/>
    <n v="3362"/>
    <n v="3.4452834394041285"/>
    <n v="6.3301120928520218"/>
    <n v="21281.836856168498"/>
    <n v="11583.04292327668"/>
    <n v="9698.7939328918183"/>
    <n v="487.36876432147841"/>
    <n v="10186.162697213296"/>
    <n v="0"/>
    <n v="0"/>
    <n v="0"/>
    <n v="10186.162697213296"/>
  </r>
  <r>
    <x v="6"/>
    <d v="2019-08-05T00:00:00"/>
    <d v="2019-08-20T00:00:00"/>
    <x v="1"/>
    <n v="9"/>
    <n v="3457"/>
    <n v="3.4452834394041285"/>
    <n v="6.3301120928520218"/>
    <n v="21883.197504989439"/>
    <n v="11910.344850020072"/>
    <n v="9972.852654969367"/>
    <n v="501.14033856613645"/>
    <n v="10473.992993535503"/>
    <n v="0"/>
    <n v="0"/>
    <n v="0"/>
    <n v="10473.992993535503"/>
  </r>
  <r>
    <x v="7"/>
    <d v="2019-09-04T00:00:00"/>
    <d v="2019-09-19T00:00:00"/>
    <x v="1"/>
    <n v="9"/>
    <n v="3664"/>
    <n v="3.4452834394041285"/>
    <n v="6.3301120928520218"/>
    <n v="23193.530708209808"/>
    <n v="12623.518521976726"/>
    <n v="10570.012186233082"/>
    <n v="531.14787402554941"/>
    <n v="11101.160060258631"/>
    <n v="0"/>
    <n v="0"/>
    <n v="0"/>
    <n v="11101.160060258631"/>
  </r>
  <r>
    <x v="8"/>
    <d v="2019-10-03T00:00:00"/>
    <d v="2019-10-18T00:00:00"/>
    <x v="1"/>
    <n v="9"/>
    <n v="3474"/>
    <n v="3.4452834394041285"/>
    <n v="6.3301120928520218"/>
    <n v="21990.809410567923"/>
    <n v="11968.914668489942"/>
    <n v="10021.89474207798"/>
    <n v="503.60472553623322"/>
    <n v="10525.499467614214"/>
    <n v="0"/>
    <n v="0"/>
    <n v="0"/>
    <n v="10525.499467614214"/>
  </r>
  <r>
    <x v="9"/>
    <d v="2019-11-05T00:00:00"/>
    <d v="2019-11-20T00:00:00"/>
    <x v="1"/>
    <n v="9"/>
    <n v="3301"/>
    <n v="3.4452834394041285"/>
    <n v="6.3301120928520218"/>
    <n v="20895.700018504525"/>
    <n v="11372.880633473029"/>
    <n v="9522.8193850314965"/>
    <n v="478.52596401701379"/>
    <n v="10001.34534904851"/>
    <n v="0"/>
    <n v="0"/>
    <n v="0"/>
    <n v="10001.34534904851"/>
  </r>
  <r>
    <x v="10"/>
    <d v="2019-12-04T00:00:00"/>
    <d v="2019-12-19T00:00:00"/>
    <x v="1"/>
    <n v="9"/>
    <n v="2932"/>
    <n v="3.4452834394041285"/>
    <n v="6.3301120928520218"/>
    <n v="18559.888656242128"/>
    <n v="10101.571044332904"/>
    <n v="8458.3176119092241"/>
    <n v="425.03427037197349"/>
    <n v="8883.3518822811984"/>
    <n v="0"/>
    <n v="0"/>
    <n v="0"/>
    <n v="8883.3518822811984"/>
  </r>
  <r>
    <x v="11"/>
    <d v="2020-01-03T00:00:00"/>
    <d v="2020-01-20T00:00:00"/>
    <x v="1"/>
    <n v="9"/>
    <n v="2839"/>
    <n v="3.4452834394041285"/>
    <n v="6.3301120928520218"/>
    <n v="17971.188231606891"/>
    <n v="9781.1596844683208"/>
    <n v="8190.0285471385705"/>
    <n v="411.55262400615027"/>
    <n v="8601.5811711447204"/>
    <n v="0"/>
    <n v="0"/>
    <n v="0"/>
    <n v="8601.5811711447204"/>
  </r>
  <r>
    <x v="0"/>
    <d v="2019-02-05T00:00:00"/>
    <d v="2019-02-20T00:00:00"/>
    <x v="2"/>
    <n v="9"/>
    <n v="157"/>
    <n v="3.4452834394041285"/>
    <n v="6.3301120928520218"/>
    <n v="993.82759857776739"/>
    <n v="540.90949998644817"/>
    <n v="452.91809859131922"/>
    <n v="22.759338488540191"/>
    <n v="475.67743707985943"/>
    <n v="0"/>
    <n v="0"/>
    <n v="0"/>
    <n v="475.67743707985943"/>
  </r>
  <r>
    <x v="1"/>
    <d v="2019-03-05T00:00:00"/>
    <d v="2019-03-20T00:00:00"/>
    <x v="2"/>
    <n v="9"/>
    <n v="138"/>
    <n v="3.4452834394041285"/>
    <n v="6.3301120928520218"/>
    <n v="873.55546881357895"/>
    <n v="475.44911463776975"/>
    <n v="398.1063541758092"/>
    <n v="20.005023639608574"/>
    <n v="418.11137781541777"/>
    <n v="0"/>
    <n v="0"/>
    <n v="0"/>
    <n v="418.11137781541777"/>
  </r>
  <r>
    <x v="2"/>
    <d v="2019-04-03T00:00:00"/>
    <d v="2019-04-18T00:00:00"/>
    <x v="2"/>
    <n v="9"/>
    <n v="153"/>
    <n v="3.4452834394041285"/>
    <n v="6.3301120928520218"/>
    <n v="968.50715020635937"/>
    <n v="527.12836622883162"/>
    <n v="441.37878397752775"/>
    <n v="22.179482730870376"/>
    <n v="463.55826670839815"/>
    <n v="0"/>
    <n v="0"/>
    <n v="0"/>
    <n v="463.55826670839815"/>
  </r>
  <r>
    <x v="3"/>
    <d v="2019-05-03T00:00:00"/>
    <d v="2019-05-20T00:00:00"/>
    <x v="2"/>
    <n v="9"/>
    <n v="85"/>
    <n v="3.4452834394041285"/>
    <n v="6.3301120928520218"/>
    <n v="538.0595278924219"/>
    <n v="292.84909234935094"/>
    <n v="245.21043554307096"/>
    <n v="12.321934850483542"/>
    <n v="257.53237039355452"/>
    <n v="0"/>
    <n v="0"/>
    <n v="0"/>
    <n v="257.53237039355452"/>
  </r>
  <r>
    <x v="4"/>
    <d v="2019-06-05T00:00:00"/>
    <d v="2019-06-20T00:00:00"/>
    <x v="2"/>
    <n v="9"/>
    <n v="115"/>
    <n v="3.4452834394041285"/>
    <n v="6.3301120928520218"/>
    <n v="727.9628906779825"/>
    <n v="396.20759553147479"/>
    <n v="331.75529514650771"/>
    <n v="16.670853033007145"/>
    <n v="348.42614817951483"/>
    <n v="0"/>
    <n v="0"/>
    <n v="0"/>
    <n v="348.42614817951483"/>
  </r>
  <r>
    <x v="5"/>
    <d v="2019-07-03T00:00:00"/>
    <d v="2019-07-18T00:00:00"/>
    <x v="2"/>
    <n v="9"/>
    <n v="119"/>
    <n v="3.4452834394041285"/>
    <n v="6.3301120928520218"/>
    <n v="753.28333904939063"/>
    <n v="409.98872928909128"/>
    <n v="343.29460976029935"/>
    <n v="17.25070879067696"/>
    <n v="360.54531855097633"/>
    <n v="0"/>
    <n v="0"/>
    <n v="0"/>
    <n v="360.54531855097633"/>
  </r>
  <r>
    <x v="6"/>
    <d v="2019-08-05T00:00:00"/>
    <d v="2019-08-20T00:00:00"/>
    <x v="2"/>
    <n v="9"/>
    <n v="136"/>
    <n v="3.4452834394041285"/>
    <n v="6.3301120928520218"/>
    <n v="860.89524462787494"/>
    <n v="468.55854775896148"/>
    <n v="392.33669686891346"/>
    <n v="19.715095760773668"/>
    <n v="412.05179262968716"/>
    <n v="0"/>
    <n v="0"/>
    <n v="0"/>
    <n v="412.05179262968716"/>
  </r>
  <r>
    <x v="7"/>
    <d v="2019-09-04T00:00:00"/>
    <d v="2019-09-19T00:00:00"/>
    <x v="2"/>
    <n v="9"/>
    <n v="141"/>
    <n v="3.4452834394041285"/>
    <n v="6.3301120928520218"/>
    <n v="892.54580509213508"/>
    <n v="485.7849649559821"/>
    <n v="406.76084013615298"/>
    <n v="20.439915457860934"/>
    <n v="427.20075559401391"/>
    <n v="0"/>
    <n v="0"/>
    <n v="0"/>
    <n v="427.20075559401391"/>
  </r>
  <r>
    <x v="8"/>
    <d v="2019-10-03T00:00:00"/>
    <d v="2019-10-18T00:00:00"/>
    <x v="2"/>
    <n v="9"/>
    <n v="137"/>
    <n v="3.4452834394041285"/>
    <n v="6.3301120928520218"/>
    <n v="867.22535672072695"/>
    <n v="472.00383119836562"/>
    <n v="395.22152552236133"/>
    <n v="19.860059700191123"/>
    <n v="415.08158522255246"/>
    <n v="0"/>
    <n v="0"/>
    <n v="0"/>
    <n v="415.08158522255246"/>
  </r>
  <r>
    <x v="9"/>
    <d v="2019-11-05T00:00:00"/>
    <d v="2019-11-20T00:00:00"/>
    <x v="2"/>
    <n v="9"/>
    <n v="125"/>
    <n v="3.4452834394041285"/>
    <n v="6.3301120928520218"/>
    <n v="791.26401160650278"/>
    <n v="430.66042992551604"/>
    <n v="360.60358168098674"/>
    <n v="18.120492427181681"/>
    <n v="378.7240741081684"/>
    <n v="0"/>
    <n v="0"/>
    <n v="0"/>
    <n v="378.7240741081684"/>
  </r>
  <r>
    <x v="10"/>
    <d v="2019-12-04T00:00:00"/>
    <d v="2019-12-19T00:00:00"/>
    <x v="2"/>
    <n v="9"/>
    <n v="157"/>
    <n v="3.4452834394041285"/>
    <n v="6.3301120928520218"/>
    <n v="993.82759857776739"/>
    <n v="540.90949998644817"/>
    <n v="452.91809859131922"/>
    <n v="22.759338488540191"/>
    <n v="475.67743707985943"/>
    <n v="0"/>
    <n v="0"/>
    <n v="0"/>
    <n v="475.67743707985943"/>
  </r>
  <r>
    <x v="11"/>
    <d v="2020-01-03T00:00:00"/>
    <d v="2020-01-20T00:00:00"/>
    <x v="2"/>
    <n v="9"/>
    <n v="152"/>
    <n v="3.4452834394041285"/>
    <n v="6.3301120928520218"/>
    <n v="962.17703811350736"/>
    <n v="523.68308278942754"/>
    <n v="438.49395532407982"/>
    <n v="22.034518791452921"/>
    <n v="460.52847411553273"/>
    <n v="0"/>
    <n v="0"/>
    <n v="0"/>
    <n v="460.52847411553273"/>
  </r>
  <r>
    <x v="0"/>
    <d v="2019-02-05T00:00:00"/>
    <d v="2019-02-20T00:00:00"/>
    <x v="3"/>
    <n v="9"/>
    <n v="765"/>
    <n v="3.4452834394041285"/>
    <n v="6.3301120928520218"/>
    <n v="4842.5357510317963"/>
    <n v="2635.6418311441585"/>
    <n v="2206.8939198876378"/>
    <n v="110.89741365435188"/>
    <n v="2317.7913335419898"/>
    <n v="0"/>
    <n v="0"/>
    <n v="0"/>
    <n v="2317.7913335419898"/>
  </r>
  <r>
    <x v="1"/>
    <d v="2019-03-05T00:00:00"/>
    <d v="2019-03-20T00:00:00"/>
    <x v="3"/>
    <n v="9"/>
    <n v="823"/>
    <n v="3.4452834394041285"/>
    <n v="6.3301120928520218"/>
    <n v="5209.6822524172139"/>
    <n v="2835.4682706295976"/>
    <n v="2374.2139817876164"/>
    <n v="119.30532214056419"/>
    <n v="2493.5193039281808"/>
    <n v="0"/>
    <n v="0"/>
    <n v="0"/>
    <n v="2493.5193039281808"/>
  </r>
  <r>
    <x v="2"/>
    <d v="2019-04-03T00:00:00"/>
    <d v="2019-04-18T00:00:00"/>
    <x v="3"/>
    <n v="9"/>
    <n v="810"/>
    <n v="3.4452834394041285"/>
    <n v="6.3301120928520218"/>
    <n v="5127.3907952101381"/>
    <n v="2790.679585917344"/>
    <n v="2336.7112092927941"/>
    <n v="117.42079092813728"/>
    <n v="2454.1320002209313"/>
    <n v="0"/>
    <n v="0"/>
    <n v="0"/>
    <n v="2454.1320002209313"/>
  </r>
  <r>
    <x v="3"/>
    <d v="2019-05-03T00:00:00"/>
    <d v="2019-05-20T00:00:00"/>
    <x v="3"/>
    <n v="9"/>
    <n v="488"/>
    <n v="3.4452834394041285"/>
    <n v="6.3301120928520218"/>
    <n v="3089.0947013117866"/>
    <n v="1681.2983184292148"/>
    <n v="1407.7963828825718"/>
    <n v="70.742402435717267"/>
    <n v="1478.538785318289"/>
    <n v="0"/>
    <n v="0"/>
    <n v="0"/>
    <n v="1478.538785318289"/>
  </r>
  <r>
    <x v="4"/>
    <d v="2019-06-05T00:00:00"/>
    <d v="2019-06-20T00:00:00"/>
    <x v="3"/>
    <n v="9"/>
    <n v="697"/>
    <n v="3.4452834394041285"/>
    <n v="6.3301120928520218"/>
    <n v="4412.088128717859"/>
    <n v="2401.3625572646774"/>
    <n v="2010.7255714531816"/>
    <n v="101.03986577396505"/>
    <n v="2111.7654372271468"/>
    <n v="0"/>
    <n v="0"/>
    <n v="0"/>
    <n v="2111.7654372271468"/>
  </r>
  <r>
    <x v="5"/>
    <d v="2019-07-03T00:00:00"/>
    <d v="2019-07-18T00:00:00"/>
    <x v="3"/>
    <n v="9"/>
    <n v="805"/>
    <n v="3.4452834394041285"/>
    <n v="6.3301120928520218"/>
    <n v="5095.7402347458774"/>
    <n v="2773.4531687203234"/>
    <n v="2322.2870660255539"/>
    <n v="116.69597123105001"/>
    <n v="2438.9830372566039"/>
    <n v="0"/>
    <n v="0"/>
    <n v="0"/>
    <n v="2438.9830372566039"/>
  </r>
  <r>
    <x v="6"/>
    <d v="2019-08-05T00:00:00"/>
    <d v="2019-08-20T00:00:00"/>
    <x v="3"/>
    <n v="9"/>
    <n v="840"/>
    <n v="3.4452834394041285"/>
    <n v="6.3301120928520218"/>
    <n v="5317.2941579956987"/>
    <n v="2894.0380890994679"/>
    <n v="2423.2560688962308"/>
    <n v="121.76970911066087"/>
    <n v="2545.0257780068914"/>
    <n v="0"/>
    <n v="0"/>
    <n v="0"/>
    <n v="2545.0257780068914"/>
  </r>
  <r>
    <x v="7"/>
    <d v="2019-09-04T00:00:00"/>
    <d v="2019-09-19T00:00:00"/>
    <x v="3"/>
    <n v="9"/>
    <n v="890"/>
    <n v="3.4452834394041285"/>
    <n v="6.3301120928520218"/>
    <n v="5633.7997626382994"/>
    <n v="3066.3022610696744"/>
    <n v="2567.497501568625"/>
    <n v="129.01790608153354"/>
    <n v="2696.5154076501585"/>
    <n v="0"/>
    <n v="0"/>
    <n v="0"/>
    <n v="2696.5154076501585"/>
  </r>
  <r>
    <x v="8"/>
    <d v="2019-10-03T00:00:00"/>
    <d v="2019-10-18T00:00:00"/>
    <x v="3"/>
    <n v="9"/>
    <n v="818"/>
    <n v="3.4452834394041285"/>
    <n v="6.3301120928520218"/>
    <n v="5178.0316919529541"/>
    <n v="2818.241853432577"/>
    <n v="2359.7898385203771"/>
    <n v="118.58050244347692"/>
    <n v="2478.3703409638538"/>
    <n v="0"/>
    <n v="0"/>
    <n v="0"/>
    <n v="2478.3703409638538"/>
  </r>
  <r>
    <x v="9"/>
    <d v="2019-11-05T00:00:00"/>
    <d v="2019-11-20T00:00:00"/>
    <x v="3"/>
    <n v="9"/>
    <n v="759"/>
    <n v="3.4452834394041285"/>
    <n v="6.3301120928520218"/>
    <n v="4804.5550784746847"/>
    <n v="2614.9701305077338"/>
    <n v="2189.5849479669509"/>
    <n v="110.02763001784714"/>
    <n v="2299.612577984798"/>
    <n v="0"/>
    <n v="0"/>
    <n v="0"/>
    <n v="2299.612577984798"/>
  </r>
  <r>
    <x v="10"/>
    <d v="2019-12-04T00:00:00"/>
    <d v="2019-12-19T00:00:00"/>
    <x v="3"/>
    <n v="9"/>
    <n v="740"/>
    <n v="3.4452834394041285"/>
    <n v="6.3301120928520218"/>
    <n v="4684.2829487104964"/>
    <n v="2549.509745159055"/>
    <n v="2134.7732035514414"/>
    <n v="107.27331516891554"/>
    <n v="2242.0465187203567"/>
    <n v="0"/>
    <n v="0"/>
    <n v="0"/>
    <n v="2242.0465187203567"/>
  </r>
  <r>
    <x v="11"/>
    <d v="2020-01-03T00:00:00"/>
    <d v="2020-01-20T00:00:00"/>
    <x v="3"/>
    <n v="9"/>
    <n v="752"/>
    <n v="3.4452834394041285"/>
    <n v="6.3301120928520218"/>
    <n v="4760.2442938247204"/>
    <n v="2590.8531464319049"/>
    <n v="2169.3911473928156"/>
    <n v="109.01288244192497"/>
    <n v="2278.4040298347404"/>
    <n v="0"/>
    <n v="0"/>
    <n v="0"/>
    <n v="2278.4040298347404"/>
  </r>
  <r>
    <x v="0"/>
    <d v="2019-02-05T00:00:00"/>
    <d v="2019-02-20T00:00:00"/>
    <x v="4"/>
    <n v="9"/>
    <n v="38"/>
    <n v="3.4452834394041285"/>
    <n v="6.3301120928520218"/>
    <n v="240.54425952837684"/>
    <n v="130.92077069735689"/>
    <n v="109.62348883101996"/>
    <n v="5.5086296978632303"/>
    <n v="115.13211852888318"/>
    <n v="0"/>
    <n v="0"/>
    <n v="0"/>
    <n v="115.13211852888318"/>
  </r>
  <r>
    <x v="1"/>
    <d v="2019-03-05T00:00:00"/>
    <d v="2019-03-20T00:00:00"/>
    <x v="4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2"/>
    <d v="2019-04-03T00:00:00"/>
    <d v="2019-04-18T00:00:00"/>
    <x v="4"/>
    <n v="9"/>
    <n v="45"/>
    <n v="3.4452834394041285"/>
    <n v="6.3301120928520218"/>
    <n v="284.85504417834096"/>
    <n v="155.03775477318578"/>
    <n v="129.81728940515518"/>
    <n v="6.5233772737854041"/>
    <n v="136.34066667894058"/>
    <n v="0"/>
    <n v="0"/>
    <n v="0"/>
    <n v="136.34066667894058"/>
  </r>
  <r>
    <x v="3"/>
    <d v="2019-05-03T00:00:00"/>
    <d v="2019-05-20T00:00:00"/>
    <x v="4"/>
    <n v="9"/>
    <n v="22"/>
    <n v="3.4452834394041285"/>
    <n v="6.3301120928520218"/>
    <n v="139.26246604274448"/>
    <n v="75.796235666890823"/>
    <n v="63.466230375853655"/>
    <n v="3.1892066671839756"/>
    <n v="66.655437043037637"/>
    <n v="0"/>
    <n v="0"/>
    <n v="0"/>
    <n v="66.655437043037637"/>
  </r>
  <r>
    <x v="4"/>
    <d v="2019-06-05T00:00:00"/>
    <d v="2019-06-20T00:00:00"/>
    <x v="4"/>
    <n v="9"/>
    <n v="31"/>
    <n v="3.4452834394041285"/>
    <n v="6.3301120928520218"/>
    <n v="196.23347487841266"/>
    <n v="106.80378662152799"/>
    <n v="89.429688256884674"/>
    <n v="4.4938821219410565"/>
    <n v="93.92357037882573"/>
    <n v="0"/>
    <n v="0"/>
    <n v="0"/>
    <n v="93.92357037882573"/>
  </r>
  <r>
    <x v="5"/>
    <d v="2019-07-03T00:00:00"/>
    <d v="2019-07-18T00:00:00"/>
    <x v="4"/>
    <n v="9"/>
    <n v="44"/>
    <n v="3.4452834394041285"/>
    <n v="6.3301120928520218"/>
    <n v="278.52493208548896"/>
    <n v="151.59247133378165"/>
    <n v="126.93246075170731"/>
    <n v="6.3784133343679512"/>
    <n v="133.31087408607527"/>
    <n v="0"/>
    <n v="0"/>
    <n v="0"/>
    <n v="133.31087408607527"/>
  </r>
  <r>
    <x v="6"/>
    <d v="2019-08-05T00:00:00"/>
    <d v="2019-08-20T00:00:00"/>
    <x v="4"/>
    <n v="9"/>
    <n v="47"/>
    <n v="3.4452834394041285"/>
    <n v="6.3301120928520218"/>
    <n v="297.51526836404503"/>
    <n v="161.92832165199405"/>
    <n v="135.58694671205097"/>
    <n v="6.8133051526203108"/>
    <n v="142.40025186467128"/>
    <n v="0"/>
    <n v="0"/>
    <n v="0"/>
    <n v="142.40025186467128"/>
  </r>
  <r>
    <x v="7"/>
    <d v="2019-09-04T00:00:00"/>
    <d v="2019-09-19T00:00:00"/>
    <x v="4"/>
    <n v="9"/>
    <n v="50"/>
    <n v="3.4452834394041285"/>
    <n v="6.3301120928520218"/>
    <n v="316.5056046426011"/>
    <n v="172.26417197020643"/>
    <n v="144.24143267239467"/>
    <n v="7.2481969708726712"/>
    <n v="151.48962964326734"/>
    <n v="0"/>
    <n v="0"/>
    <n v="0"/>
    <n v="151.48962964326734"/>
  </r>
  <r>
    <x v="8"/>
    <d v="2019-10-03T00:00:00"/>
    <d v="2019-10-18T00:00:00"/>
    <x v="4"/>
    <n v="9"/>
    <n v="45"/>
    <n v="3.4452834394041285"/>
    <n v="6.3301120928520218"/>
    <n v="284.85504417834096"/>
    <n v="155.03775477318578"/>
    <n v="129.81728940515518"/>
    <n v="6.5233772737854041"/>
    <n v="136.34066667894058"/>
    <n v="0"/>
    <n v="0"/>
    <n v="0"/>
    <n v="136.34066667894058"/>
  </r>
  <r>
    <x v="9"/>
    <d v="2019-11-05T00:00:00"/>
    <d v="2019-11-20T00:00:00"/>
    <x v="4"/>
    <n v="9"/>
    <n v="37"/>
    <n v="3.4452834394041285"/>
    <n v="6.3301120928520218"/>
    <n v="234.21414743552481"/>
    <n v="127.47548725795275"/>
    <n v="106.73866017757206"/>
    <n v="5.3636657584457774"/>
    <n v="112.10232593601783"/>
    <n v="0"/>
    <n v="0"/>
    <n v="0"/>
    <n v="112.10232593601783"/>
  </r>
  <r>
    <x v="10"/>
    <d v="2019-12-04T00:00:00"/>
    <d v="2019-12-19T00:00:00"/>
    <x v="4"/>
    <n v="9"/>
    <n v="38"/>
    <n v="3.4452834394041285"/>
    <n v="6.3301120928520218"/>
    <n v="240.54425952837684"/>
    <n v="130.92077069735689"/>
    <n v="109.62348883101996"/>
    <n v="5.5086296978632303"/>
    <n v="115.13211852888318"/>
    <n v="0"/>
    <n v="0"/>
    <n v="0"/>
    <n v="115.13211852888318"/>
  </r>
  <r>
    <x v="11"/>
    <d v="2020-01-03T00:00:00"/>
    <d v="2020-01-20T00:00:00"/>
    <x v="4"/>
    <n v="9"/>
    <n v="38"/>
    <n v="3.4452834394041285"/>
    <n v="6.3301120928520218"/>
    <n v="240.54425952837684"/>
    <n v="130.92077069735689"/>
    <n v="109.62348883101996"/>
    <n v="5.5086296978632303"/>
    <n v="115.13211852888318"/>
    <n v="0"/>
    <n v="0"/>
    <n v="0"/>
    <n v="115.13211852888318"/>
  </r>
  <r>
    <x v="0"/>
    <d v="2019-02-05T00:00:00"/>
    <d v="2019-02-20T00:00:00"/>
    <x v="5"/>
    <n v="9"/>
    <n v="40"/>
    <n v="3.4452834394041285"/>
    <n v="6.3301120928520218"/>
    <n v="253.20448371408088"/>
    <n v="137.81133757616513"/>
    <n v="115.39314613791575"/>
    <n v="5.798557576698137"/>
    <n v="121.19170371461388"/>
    <n v="0"/>
    <n v="0"/>
    <n v="0"/>
    <n v="121.19170371461388"/>
  </r>
  <r>
    <x v="1"/>
    <d v="2019-03-05T00:00:00"/>
    <d v="2019-03-20T00:00:00"/>
    <x v="5"/>
    <n v="9"/>
    <n v="40"/>
    <n v="3.4452834394041285"/>
    <n v="6.3301120928520218"/>
    <n v="253.20448371408088"/>
    <n v="137.81133757616513"/>
    <n v="115.39314613791575"/>
    <n v="5.798557576698137"/>
    <n v="121.19170371461388"/>
    <n v="0"/>
    <n v="0"/>
    <n v="0"/>
    <n v="121.19170371461388"/>
  </r>
  <r>
    <x v="2"/>
    <d v="2019-04-03T00:00:00"/>
    <d v="2019-04-18T00:00:00"/>
    <x v="5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3"/>
    <d v="2019-05-03T00:00:00"/>
    <d v="2019-05-20T00:00:00"/>
    <x v="5"/>
    <n v="9"/>
    <n v="27"/>
    <n v="3.4452834394041285"/>
    <n v="6.3301120928520218"/>
    <n v="170.91302650700459"/>
    <n v="93.022652863911475"/>
    <n v="77.890373643093113"/>
    <n v="3.9140263642712427"/>
    <n v="81.80440000736435"/>
    <n v="0"/>
    <n v="0"/>
    <n v="0"/>
    <n v="81.80440000736435"/>
  </r>
  <r>
    <x v="4"/>
    <d v="2019-06-05T00:00:00"/>
    <d v="2019-06-20T00:00:00"/>
    <x v="5"/>
    <n v="9"/>
    <n v="33"/>
    <n v="3.4452834394041285"/>
    <n v="6.3301120928520218"/>
    <n v="208.89369906411673"/>
    <n v="113.69435350033623"/>
    <n v="95.199345563780497"/>
    <n v="4.7838100007759632"/>
    <n v="99.983155564556455"/>
    <n v="0"/>
    <n v="0"/>
    <n v="0"/>
    <n v="99.983155564556455"/>
  </r>
  <r>
    <x v="5"/>
    <d v="2019-07-03T00:00:00"/>
    <d v="2019-07-18T00:00:00"/>
    <x v="5"/>
    <n v="9"/>
    <n v="39"/>
    <n v="3.4452834394041285"/>
    <n v="6.3301120928520218"/>
    <n v="246.87437162122885"/>
    <n v="134.36605413676102"/>
    <n v="112.50831748446782"/>
    <n v="5.6535936372806841"/>
    <n v="118.1619111217485"/>
    <n v="0"/>
    <n v="0"/>
    <n v="0"/>
    <n v="118.1619111217485"/>
  </r>
  <r>
    <x v="6"/>
    <d v="2019-08-05T00:00:00"/>
    <d v="2019-08-20T00:00:00"/>
    <x v="5"/>
    <n v="9"/>
    <n v="39"/>
    <n v="3.4452834394041285"/>
    <n v="6.3301120928520218"/>
    <n v="246.87437162122885"/>
    <n v="134.36605413676102"/>
    <n v="112.50831748446782"/>
    <n v="5.6535936372806841"/>
    <n v="118.1619111217485"/>
    <n v="0"/>
    <n v="0"/>
    <n v="0"/>
    <n v="118.1619111217485"/>
  </r>
  <r>
    <x v="7"/>
    <d v="2019-09-04T00:00:00"/>
    <d v="2019-09-19T00:00:00"/>
    <x v="5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8"/>
    <d v="2019-10-03T00:00:00"/>
    <d v="2019-10-18T00:00:00"/>
    <x v="5"/>
    <n v="9"/>
    <n v="40"/>
    <n v="3.4452834394041285"/>
    <n v="6.3301120928520218"/>
    <n v="253.20448371408088"/>
    <n v="137.81133757616513"/>
    <n v="115.39314613791575"/>
    <n v="5.798557576698137"/>
    <n v="121.19170371461388"/>
    <n v="0"/>
    <n v="0"/>
    <n v="0"/>
    <n v="121.19170371461388"/>
  </r>
  <r>
    <x v="9"/>
    <d v="2019-11-05T00:00:00"/>
    <d v="2019-11-20T00:00:00"/>
    <x v="5"/>
    <n v="9"/>
    <n v="30"/>
    <n v="3.4452834394041285"/>
    <n v="6.3301120928520218"/>
    <n v="189.90336278556066"/>
    <n v="103.35850318212385"/>
    <n v="86.544859603436805"/>
    <n v="4.3489181825236027"/>
    <n v="90.89377778596041"/>
    <n v="0"/>
    <n v="0"/>
    <n v="0"/>
    <n v="90.89377778596041"/>
  </r>
  <r>
    <x v="10"/>
    <d v="2019-12-04T00:00:00"/>
    <d v="2019-12-19T00:00:00"/>
    <x v="5"/>
    <n v="9"/>
    <n v="37"/>
    <n v="3.4452834394041285"/>
    <n v="6.3301120928520218"/>
    <n v="234.21414743552481"/>
    <n v="127.47548725795275"/>
    <n v="106.73866017757206"/>
    <n v="5.3636657584457774"/>
    <n v="112.10232593601783"/>
    <n v="0"/>
    <n v="0"/>
    <n v="0"/>
    <n v="112.10232593601783"/>
  </r>
  <r>
    <x v="11"/>
    <d v="2020-01-03T00:00:00"/>
    <d v="2020-01-20T00:00:00"/>
    <x v="5"/>
    <n v="9"/>
    <n v="41"/>
    <n v="3.4452834394041285"/>
    <n v="6.3301120928520218"/>
    <n v="259.53459580693288"/>
    <n v="141.25662101556927"/>
    <n v="118.27797479136362"/>
    <n v="5.9435215161155908"/>
    <n v="124.22149630747921"/>
    <n v="0"/>
    <n v="0"/>
    <n v="0"/>
    <n v="124.22149630747921"/>
  </r>
  <r>
    <x v="0"/>
    <d v="2019-02-05T00:00:00"/>
    <d v="2019-02-20T00:00:00"/>
    <x v="6"/>
    <n v="9"/>
    <n v="76"/>
    <n v="3.4452834394041285"/>
    <n v="6.3301120928520218"/>
    <n v="481.08851905675368"/>
    <n v="261.84154139471377"/>
    <n v="219.24697766203991"/>
    <n v="11.017259395726461"/>
    <n v="230.26423705776637"/>
    <n v="0"/>
    <n v="0"/>
    <n v="0"/>
    <n v="230.26423705776637"/>
  </r>
  <r>
    <x v="1"/>
    <d v="2019-03-05T00:00:00"/>
    <d v="2019-03-20T00:00:00"/>
    <x v="6"/>
    <n v="9"/>
    <n v="85"/>
    <n v="3.4452834394041285"/>
    <n v="6.3301120928520218"/>
    <n v="538.0595278924219"/>
    <n v="292.84909234935094"/>
    <n v="245.21043554307096"/>
    <n v="12.321934850483542"/>
    <n v="257.53237039355452"/>
    <n v="0"/>
    <n v="0"/>
    <n v="0"/>
    <n v="257.53237039355452"/>
  </r>
  <r>
    <x v="2"/>
    <d v="2019-04-03T00:00:00"/>
    <d v="2019-04-18T00:00:00"/>
    <x v="6"/>
    <n v="9"/>
    <n v="86"/>
    <n v="3.4452834394041285"/>
    <n v="6.3301120928520218"/>
    <n v="544.3896399852739"/>
    <n v="296.29437578875508"/>
    <n v="248.09526419651883"/>
    <n v="12.466898789900995"/>
    <n v="260.56216298641982"/>
    <n v="0"/>
    <n v="0"/>
    <n v="0"/>
    <n v="260.56216298641982"/>
  </r>
  <r>
    <x v="3"/>
    <d v="2019-05-03T00:00:00"/>
    <d v="2019-05-20T00:00:00"/>
    <x v="6"/>
    <n v="9"/>
    <n v="78"/>
    <n v="3.4452834394041285"/>
    <n v="6.3301120928520218"/>
    <n v="493.74874324245769"/>
    <n v="268.73210827352204"/>
    <n v="225.01663496893565"/>
    <n v="11.307187274561368"/>
    <n v="236.32382224349701"/>
    <n v="0"/>
    <n v="0"/>
    <n v="0"/>
    <n v="236.32382224349701"/>
  </r>
  <r>
    <x v="4"/>
    <d v="2019-06-05T00:00:00"/>
    <d v="2019-06-20T00:00:00"/>
    <x v="6"/>
    <n v="9"/>
    <n v="92"/>
    <n v="3.4452834394041285"/>
    <n v="6.3301120928520218"/>
    <n v="582.37031254238605"/>
    <n v="316.96607642517984"/>
    <n v="265.40423611720621"/>
    <n v="13.336682426405716"/>
    <n v="278.74091854361194"/>
    <n v="0"/>
    <n v="0"/>
    <n v="0"/>
    <n v="278.74091854361194"/>
  </r>
  <r>
    <x v="5"/>
    <d v="2019-07-03T00:00:00"/>
    <d v="2019-07-18T00:00:00"/>
    <x v="6"/>
    <n v="9"/>
    <n v="138"/>
    <n v="3.4452834394041285"/>
    <n v="6.3301120928520218"/>
    <n v="873.55546881357895"/>
    <n v="475.44911463776975"/>
    <n v="398.1063541758092"/>
    <n v="20.005023639608574"/>
    <n v="418.11137781541777"/>
    <n v="0"/>
    <n v="0"/>
    <n v="0"/>
    <n v="418.11137781541777"/>
  </r>
  <r>
    <x v="6"/>
    <d v="2019-08-05T00:00:00"/>
    <d v="2019-08-20T00:00:00"/>
    <x v="6"/>
    <n v="9"/>
    <n v="147"/>
    <n v="3.4452834394041285"/>
    <n v="6.3301120928520218"/>
    <n v="930.52647764924723"/>
    <n v="506.45666559240686"/>
    <n v="424.06981205684036"/>
    <n v="21.309699094365655"/>
    <n v="445.37951115120603"/>
    <n v="0"/>
    <n v="0"/>
    <n v="0"/>
    <n v="445.37951115120603"/>
  </r>
  <r>
    <x v="7"/>
    <d v="2019-09-04T00:00:00"/>
    <d v="2019-09-19T00:00:00"/>
    <x v="6"/>
    <n v="9"/>
    <n v="156"/>
    <n v="3.4452834394041285"/>
    <n v="6.3301120928520218"/>
    <n v="987.49748648491538"/>
    <n v="537.46421654704409"/>
    <n v="450.0332699378713"/>
    <n v="22.614374549122736"/>
    <n v="472.64764448699401"/>
    <n v="0"/>
    <n v="0"/>
    <n v="0"/>
    <n v="472.64764448699401"/>
  </r>
  <r>
    <x v="8"/>
    <d v="2019-10-03T00:00:00"/>
    <d v="2019-10-18T00:00:00"/>
    <x v="6"/>
    <n v="9"/>
    <n v="140"/>
    <n v="3.4452834394041285"/>
    <n v="6.3301120928520218"/>
    <n v="886.21569299928308"/>
    <n v="482.33968151657797"/>
    <n v="403.87601148270511"/>
    <n v="20.294951518443479"/>
    <n v="424.17096300114861"/>
    <n v="0"/>
    <n v="0"/>
    <n v="0"/>
    <n v="424.17096300114861"/>
  </r>
  <r>
    <x v="9"/>
    <d v="2019-11-05T00:00:00"/>
    <d v="2019-11-20T00:00:00"/>
    <x v="6"/>
    <n v="9"/>
    <n v="125"/>
    <n v="3.4452834394041285"/>
    <n v="6.3301120928520218"/>
    <n v="791.26401160650278"/>
    <n v="430.66042992551604"/>
    <n v="360.60358168098674"/>
    <n v="18.120492427181681"/>
    <n v="378.7240741081684"/>
    <n v="0"/>
    <n v="0"/>
    <n v="0"/>
    <n v="378.7240741081684"/>
  </r>
  <r>
    <x v="10"/>
    <d v="2019-12-04T00:00:00"/>
    <d v="2019-12-19T00:00:00"/>
    <x v="6"/>
    <n v="9"/>
    <n v="79"/>
    <n v="3.4452834394041285"/>
    <n v="6.3301120928520218"/>
    <n v="500.0788553353097"/>
    <n v="272.17739171292618"/>
    <n v="227.90146362238352"/>
    <n v="11.452151213978821"/>
    <n v="239.35361483636234"/>
    <n v="0"/>
    <n v="0"/>
    <n v="0"/>
    <n v="239.35361483636234"/>
  </r>
  <r>
    <x v="11"/>
    <d v="2020-01-03T00:00:00"/>
    <d v="2020-01-20T00:00:00"/>
    <x v="6"/>
    <n v="9"/>
    <n v="81"/>
    <n v="3.4452834394041285"/>
    <n v="6.3301120928520218"/>
    <n v="512.73907952101376"/>
    <n v="279.0679585917344"/>
    <n v="233.67112092927937"/>
    <n v="11.742079092813727"/>
    <n v="245.41320002209309"/>
    <n v="0"/>
    <n v="0"/>
    <n v="0"/>
    <n v="245.41320002209309"/>
  </r>
  <r>
    <x v="0"/>
    <d v="2019-02-05T00:00:00"/>
    <d v="2019-02-20T00:00:00"/>
    <x v="7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1"/>
    <d v="2019-03-05T00:00:00"/>
    <d v="2019-03-20T00:00:00"/>
    <x v="7"/>
    <n v="9"/>
    <n v="37"/>
    <n v="3.4452834394041285"/>
    <n v="6.3301120928520218"/>
    <n v="234.21414743552481"/>
    <n v="127.47548725795275"/>
    <n v="106.73866017757206"/>
    <n v="5.3636657584457774"/>
    <n v="112.10232593601783"/>
    <n v="0"/>
    <n v="0"/>
    <n v="0"/>
    <n v="112.10232593601783"/>
  </r>
  <r>
    <x v="2"/>
    <d v="2019-04-03T00:00:00"/>
    <d v="2019-04-18T00:00:00"/>
    <x v="7"/>
    <n v="9"/>
    <n v="40"/>
    <n v="3.4452834394041285"/>
    <n v="6.3301120928520218"/>
    <n v="253.20448371408088"/>
    <n v="137.81133757616513"/>
    <n v="115.39314613791575"/>
    <n v="5.798557576698137"/>
    <n v="121.19170371461388"/>
    <n v="0"/>
    <n v="0"/>
    <n v="0"/>
    <n v="121.19170371461388"/>
  </r>
  <r>
    <x v="3"/>
    <d v="2019-05-03T00:00:00"/>
    <d v="2019-05-20T00:00:00"/>
    <x v="7"/>
    <n v="9"/>
    <n v="36"/>
    <n v="3.4452834394041285"/>
    <n v="6.3301120928520218"/>
    <n v="227.88403534267277"/>
    <n v="124.03020381854863"/>
    <n v="103.85383152412415"/>
    <n v="5.2187018190283236"/>
    <n v="109.07253334315247"/>
    <n v="0"/>
    <n v="0"/>
    <n v="0"/>
    <n v="109.07253334315247"/>
  </r>
  <r>
    <x v="4"/>
    <d v="2019-06-05T00:00:00"/>
    <d v="2019-06-20T00:00:00"/>
    <x v="7"/>
    <n v="9"/>
    <n v="41"/>
    <n v="3.4452834394041285"/>
    <n v="6.3301120928520218"/>
    <n v="259.53459580693288"/>
    <n v="141.25662101556927"/>
    <n v="118.27797479136362"/>
    <n v="5.9435215161155908"/>
    <n v="124.22149630747921"/>
    <n v="0"/>
    <n v="0"/>
    <n v="0"/>
    <n v="124.22149630747921"/>
  </r>
  <r>
    <x v="5"/>
    <d v="2019-07-03T00:00:00"/>
    <d v="2019-07-18T00:00:00"/>
    <x v="7"/>
    <n v="9"/>
    <n v="40"/>
    <n v="3.4452834394041285"/>
    <n v="6.3301120928520218"/>
    <n v="253.20448371408088"/>
    <n v="137.81133757616513"/>
    <n v="115.39314613791575"/>
    <n v="5.798557576698137"/>
    <n v="121.19170371461388"/>
    <n v="0"/>
    <n v="0"/>
    <n v="0"/>
    <n v="121.19170371461388"/>
  </r>
  <r>
    <x v="6"/>
    <d v="2019-08-05T00:00:00"/>
    <d v="2019-08-20T00:00:00"/>
    <x v="7"/>
    <n v="9"/>
    <n v="46"/>
    <n v="3.4452834394041285"/>
    <n v="6.3301120928520218"/>
    <n v="291.18515627119302"/>
    <n v="158.48303821258992"/>
    <n v="132.70211805860311"/>
    <n v="6.6683412132028579"/>
    <n v="139.37045927180597"/>
    <n v="0"/>
    <n v="0"/>
    <n v="0"/>
    <n v="139.37045927180597"/>
  </r>
  <r>
    <x v="7"/>
    <d v="2019-09-04T00:00:00"/>
    <d v="2019-09-19T00:00:00"/>
    <x v="7"/>
    <n v="9"/>
    <n v="47"/>
    <n v="3.4452834394041285"/>
    <n v="6.3301120928520218"/>
    <n v="297.51526836404503"/>
    <n v="161.92832165199405"/>
    <n v="135.58694671205097"/>
    <n v="6.8133051526203108"/>
    <n v="142.40025186467128"/>
    <n v="0"/>
    <n v="0"/>
    <n v="0"/>
    <n v="142.40025186467128"/>
  </r>
  <r>
    <x v="8"/>
    <d v="2019-10-03T00:00:00"/>
    <d v="2019-10-18T00:00:00"/>
    <x v="7"/>
    <n v="9"/>
    <n v="45"/>
    <n v="3.4452834394041285"/>
    <n v="6.3301120928520218"/>
    <n v="284.85504417834096"/>
    <n v="155.03775477318578"/>
    <n v="129.81728940515518"/>
    <n v="6.5233772737854041"/>
    <n v="136.34066667894058"/>
    <n v="0"/>
    <n v="0"/>
    <n v="0"/>
    <n v="136.34066667894058"/>
  </r>
  <r>
    <x v="9"/>
    <d v="2019-11-05T00:00:00"/>
    <d v="2019-11-20T00:00:00"/>
    <x v="7"/>
    <n v="9"/>
    <n v="42"/>
    <n v="3.4452834394041285"/>
    <n v="6.3301120928520218"/>
    <n v="265.86470789978489"/>
    <n v="144.7019044549734"/>
    <n v="121.16280344481149"/>
    <n v="6.0884854555330437"/>
    <n v="127.25128890034453"/>
    <n v="0"/>
    <n v="0"/>
    <n v="0"/>
    <n v="127.25128890034453"/>
  </r>
  <r>
    <x v="10"/>
    <d v="2019-12-04T00:00:00"/>
    <d v="2019-12-19T00:00:00"/>
    <x v="7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11"/>
    <d v="2020-01-03T00:00:00"/>
    <d v="2020-01-20T00:00:00"/>
    <x v="7"/>
    <n v="9"/>
    <n v="38"/>
    <n v="3.4452834394041285"/>
    <n v="6.3301120928520218"/>
    <n v="240.54425952837684"/>
    <n v="130.92077069735689"/>
    <n v="109.62348883101996"/>
    <n v="5.5086296978632303"/>
    <n v="115.13211852888318"/>
    <n v="0"/>
    <n v="0"/>
    <n v="0"/>
    <n v="115.13211852888318"/>
  </r>
  <r>
    <x v="0"/>
    <d v="2019-02-05T00:00:00"/>
    <d v="2019-02-20T00:00:00"/>
    <x v="8"/>
    <n v="9"/>
    <n v="988"/>
    <n v="3.4452834394041285"/>
    <n v="6.3301120928520218"/>
    <n v="6254.1507477377972"/>
    <n v="3403.9400381312789"/>
    <n v="2850.2107096065183"/>
    <n v="143.224372144444"/>
    <n v="2993.4350817509621"/>
    <n v="0"/>
    <n v="0"/>
    <n v="0"/>
    <n v="2993.4350817509621"/>
  </r>
  <r>
    <x v="1"/>
    <d v="2019-03-05T00:00:00"/>
    <d v="2019-03-20T00:00:00"/>
    <x v="8"/>
    <n v="9"/>
    <n v="951"/>
    <n v="3.4452834394041285"/>
    <n v="6.3301120928520218"/>
    <n v="6019.9366003022724"/>
    <n v="3276.4645508733261"/>
    <n v="2743.4720494289463"/>
    <n v="137.86070638599821"/>
    <n v="2881.3327558149444"/>
    <n v="0"/>
    <n v="0"/>
    <n v="0"/>
    <n v="2881.3327558149444"/>
  </r>
  <r>
    <x v="2"/>
    <d v="2019-04-03T00:00:00"/>
    <d v="2019-04-18T00:00:00"/>
    <x v="8"/>
    <n v="9"/>
    <n v="1055"/>
    <n v="3.4452834394041285"/>
    <n v="6.3301120928520218"/>
    <n v="6678.2682579588827"/>
    <n v="3634.7740285713558"/>
    <n v="3043.494229387527"/>
    <n v="152.93695608541339"/>
    <n v="3196.4311854729403"/>
    <n v="0"/>
    <n v="0"/>
    <n v="0"/>
    <n v="3196.4311854729403"/>
  </r>
  <r>
    <x v="3"/>
    <d v="2019-05-03T00:00:00"/>
    <d v="2019-05-20T00:00:00"/>
    <x v="8"/>
    <n v="9"/>
    <n v="514"/>
    <n v="3.4452834394041285"/>
    <n v="6.3301120928520218"/>
    <n v="3253.6776157259392"/>
    <n v="1770.875687853722"/>
    <n v="1482.8019278722172"/>
    <n v="74.511464860571067"/>
    <n v="1557.3133927327883"/>
    <n v="0"/>
    <n v="0"/>
    <n v="0"/>
    <n v="1557.3133927327883"/>
  </r>
  <r>
    <x v="4"/>
    <d v="2019-06-05T00:00:00"/>
    <d v="2019-06-20T00:00:00"/>
    <x v="8"/>
    <n v="9"/>
    <n v="701"/>
    <n v="3.4452834394041285"/>
    <n v="6.3301120928520218"/>
    <n v="4437.4085770892671"/>
    <n v="2415.1436910222942"/>
    <n v="2022.2648860669728"/>
    <n v="101.61972153163485"/>
    <n v="2123.8846075986075"/>
    <n v="0"/>
    <n v="0"/>
    <n v="0"/>
    <n v="2123.8846075986075"/>
  </r>
  <r>
    <x v="5"/>
    <d v="2019-07-03T00:00:00"/>
    <d v="2019-07-18T00:00:00"/>
    <x v="8"/>
    <n v="9"/>
    <n v="822"/>
    <n v="3.4452834394041285"/>
    <n v="6.3301120928520218"/>
    <n v="5203.3521403243622"/>
    <n v="2832.0229871901938"/>
    <n v="2371.3291531341683"/>
    <n v="119.16035820114671"/>
    <n v="2490.489511335315"/>
    <n v="0"/>
    <n v="0"/>
    <n v="0"/>
    <n v="2490.489511335315"/>
  </r>
  <r>
    <x v="6"/>
    <d v="2019-08-05T00:00:00"/>
    <d v="2019-08-20T00:00:00"/>
    <x v="8"/>
    <n v="9"/>
    <n v="868"/>
    <n v="3.4452834394041285"/>
    <n v="6.3301120928520218"/>
    <n v="5494.5372965955548"/>
    <n v="2990.5060254027835"/>
    <n v="2504.0312711927713"/>
    <n v="125.82869941434959"/>
    <n v="2629.8599706071209"/>
    <n v="0"/>
    <n v="0"/>
    <n v="0"/>
    <n v="2629.8599706071209"/>
  </r>
  <r>
    <x v="7"/>
    <d v="2019-09-04T00:00:00"/>
    <d v="2019-09-19T00:00:00"/>
    <x v="8"/>
    <n v="9"/>
    <n v="933"/>
    <n v="3.4452834394041285"/>
    <n v="6.3301120928520218"/>
    <n v="5905.9945826309367"/>
    <n v="3214.449448964052"/>
    <n v="2691.5451336668848"/>
    <n v="135.25135547648406"/>
    <n v="2826.7964891433689"/>
    <n v="0"/>
    <n v="0"/>
    <n v="0"/>
    <n v="2826.7964891433689"/>
  </r>
  <r>
    <x v="8"/>
    <d v="2019-10-03T00:00:00"/>
    <d v="2019-10-18T00:00:00"/>
    <x v="8"/>
    <n v="9"/>
    <n v="890"/>
    <n v="3.4452834394041285"/>
    <n v="6.3301120928520218"/>
    <n v="5633.7997626382994"/>
    <n v="3066.3022610696744"/>
    <n v="2567.497501568625"/>
    <n v="129.01790608153354"/>
    <n v="2696.5154076501585"/>
    <n v="0"/>
    <n v="0"/>
    <n v="0"/>
    <n v="2696.5154076501585"/>
  </r>
  <r>
    <x v="9"/>
    <d v="2019-11-05T00:00:00"/>
    <d v="2019-11-20T00:00:00"/>
    <x v="8"/>
    <n v="9"/>
    <n v="798"/>
    <n v="3.4452834394041285"/>
    <n v="6.3301120928520218"/>
    <n v="5051.4294500959131"/>
    <n v="2749.3361846444946"/>
    <n v="2302.0932654514186"/>
    <n v="115.68122365512784"/>
    <n v="2417.7744891065463"/>
    <n v="0"/>
    <n v="0"/>
    <n v="0"/>
    <n v="2417.7744891065463"/>
  </r>
  <r>
    <x v="10"/>
    <d v="2019-12-04T00:00:00"/>
    <d v="2019-12-19T00:00:00"/>
    <x v="8"/>
    <n v="9"/>
    <n v="1050"/>
    <n v="3.4452834394041285"/>
    <n v="6.3301120928520218"/>
    <n v="6646.6176974946229"/>
    <n v="3617.5476113743348"/>
    <n v="3029.0700861202881"/>
    <n v="152.21213638832609"/>
    <n v="3181.2822225086143"/>
    <n v="0"/>
    <n v="0"/>
    <n v="0"/>
    <n v="3181.2822225086143"/>
  </r>
  <r>
    <x v="11"/>
    <d v="2020-01-03T00:00:00"/>
    <d v="2020-01-20T00:00:00"/>
    <x v="8"/>
    <n v="9"/>
    <n v="996"/>
    <n v="3.4452834394041285"/>
    <n v="6.3301120928520218"/>
    <n v="6304.7916444806133"/>
    <n v="3431.502305646512"/>
    <n v="2873.2893388341013"/>
    <n v="144.38408365978361"/>
    <n v="3017.673422493885"/>
    <n v="0"/>
    <n v="0"/>
    <n v="0"/>
    <n v="3017.673422493885"/>
  </r>
  <r>
    <x v="0"/>
    <d v="2019-02-05T00:00:00"/>
    <d v="2019-02-20T00:00:00"/>
    <x v="9"/>
    <n v="9"/>
    <n v="7"/>
    <n v="3.4452834394041285"/>
    <n v="6.3301120928520218"/>
    <n v="44.310784649964155"/>
    <n v="24.116984075828899"/>
    <n v="20.193800574135256"/>
    <n v="1.014747575922174"/>
    <n v="21.208548150057432"/>
    <n v="0"/>
    <n v="0"/>
    <n v="0"/>
    <n v="21.208548150057432"/>
  </r>
  <r>
    <x v="1"/>
    <d v="2019-03-05T00:00:00"/>
    <d v="2019-03-20T00:00:00"/>
    <x v="9"/>
    <n v="9"/>
    <n v="8"/>
    <n v="3.4452834394041285"/>
    <n v="6.3301120928520218"/>
    <n v="50.640896742816174"/>
    <n v="27.562267515233028"/>
    <n v="23.078629227583146"/>
    <n v="1.1597115153396276"/>
    <n v="24.238340742922773"/>
    <n v="0"/>
    <n v="0"/>
    <n v="0"/>
    <n v="24.238340742922773"/>
  </r>
  <r>
    <x v="2"/>
    <d v="2019-04-03T00:00:00"/>
    <d v="2019-04-18T00:00:00"/>
    <x v="9"/>
    <n v="9"/>
    <n v="6"/>
    <n v="3.4452834394041285"/>
    <n v="6.3301120928520218"/>
    <n v="37.980672557112129"/>
    <n v="20.67170063642477"/>
    <n v="17.308971920687359"/>
    <n v="0.86978363650472057"/>
    <n v="18.17875555719208"/>
    <n v="0"/>
    <n v="0"/>
    <n v="0"/>
    <n v="18.17875555719208"/>
  </r>
  <r>
    <x v="3"/>
    <d v="2019-05-03T00:00:00"/>
    <d v="2019-05-20T00:00:00"/>
    <x v="9"/>
    <n v="9"/>
    <n v="5"/>
    <n v="3.4452834394041285"/>
    <n v="6.3301120928520218"/>
    <n v="31.65056046426011"/>
    <n v="17.226417197020641"/>
    <n v="14.424143267239469"/>
    <n v="0.72481969708726712"/>
    <n v="15.148962964326735"/>
    <n v="0"/>
    <n v="0"/>
    <n v="0"/>
    <n v="15.148962964326735"/>
  </r>
  <r>
    <x v="4"/>
    <d v="2019-06-05T00:00:00"/>
    <d v="2019-06-20T00:00:00"/>
    <x v="9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5"/>
    <d v="2019-07-03T00:00:00"/>
    <d v="2019-07-18T00:00:00"/>
    <x v="9"/>
    <n v="9"/>
    <n v="7"/>
    <n v="3.4452834394041285"/>
    <n v="6.3301120928520218"/>
    <n v="44.310784649964155"/>
    <n v="24.116984075828899"/>
    <n v="20.193800574135256"/>
    <n v="1.014747575922174"/>
    <n v="21.208548150057432"/>
    <n v="0"/>
    <n v="0"/>
    <n v="0"/>
    <n v="21.208548150057432"/>
  </r>
  <r>
    <x v="6"/>
    <d v="2019-08-05T00:00:00"/>
    <d v="2019-08-20T00:00:00"/>
    <x v="9"/>
    <n v="9"/>
    <n v="17"/>
    <n v="3.4452834394041285"/>
    <n v="6.3301120928520218"/>
    <n v="107.61190557848437"/>
    <n v="58.569818469870185"/>
    <n v="49.042087108614183"/>
    <n v="2.4643869700967085"/>
    <n v="51.506474078710895"/>
    <n v="0"/>
    <n v="0"/>
    <n v="0"/>
    <n v="51.506474078710895"/>
  </r>
  <r>
    <x v="7"/>
    <d v="2019-09-04T00:00:00"/>
    <d v="2019-09-19T00:00:00"/>
    <x v="9"/>
    <n v="9"/>
    <n v="17"/>
    <n v="3.4452834394041285"/>
    <n v="6.3301120928520218"/>
    <n v="107.61190557848437"/>
    <n v="58.569818469870185"/>
    <n v="49.042087108614183"/>
    <n v="2.4643869700967085"/>
    <n v="51.506474078710895"/>
    <n v="0"/>
    <n v="0"/>
    <n v="0"/>
    <n v="51.506474078710895"/>
  </r>
  <r>
    <x v="8"/>
    <d v="2019-10-03T00:00:00"/>
    <d v="2019-10-18T00:00:00"/>
    <x v="9"/>
    <n v="9"/>
    <n v="13"/>
    <n v="3.4452834394041285"/>
    <n v="6.3301120928520218"/>
    <n v="82.291457207076277"/>
    <n v="44.788684712253669"/>
    <n v="37.502772494822608"/>
    <n v="1.8845312124268947"/>
    <n v="39.387303707249501"/>
    <n v="0"/>
    <n v="0"/>
    <n v="0"/>
    <n v="39.387303707249501"/>
  </r>
  <r>
    <x v="9"/>
    <d v="2019-11-05T00:00:00"/>
    <d v="2019-11-20T00:00:00"/>
    <x v="9"/>
    <n v="9"/>
    <n v="5"/>
    <n v="3.4452834394041285"/>
    <n v="6.3301120928520218"/>
    <n v="31.65056046426011"/>
    <n v="17.226417197020641"/>
    <n v="14.424143267239469"/>
    <n v="0.72481969708726712"/>
    <n v="15.148962964326735"/>
    <n v="0"/>
    <n v="0"/>
    <n v="0"/>
    <n v="15.148962964326735"/>
  </r>
  <r>
    <x v="10"/>
    <d v="2019-12-04T00:00:00"/>
    <d v="2019-12-19T00:00:00"/>
    <x v="9"/>
    <n v="9"/>
    <n v="7"/>
    <n v="3.4452834394041285"/>
    <n v="6.3301120928520218"/>
    <n v="44.310784649964155"/>
    <n v="24.116984075828899"/>
    <n v="20.193800574135256"/>
    <n v="1.014747575922174"/>
    <n v="21.208548150057432"/>
    <n v="0"/>
    <n v="0"/>
    <n v="0"/>
    <n v="21.208548150057432"/>
  </r>
  <r>
    <x v="11"/>
    <d v="2020-01-03T00:00:00"/>
    <d v="2020-01-20T00:00:00"/>
    <x v="9"/>
    <n v="9"/>
    <n v="7"/>
    <n v="3.4452834394041285"/>
    <n v="6.3301120928520218"/>
    <n v="44.310784649964155"/>
    <n v="24.116984075828899"/>
    <n v="20.193800574135256"/>
    <n v="1.014747575922174"/>
    <n v="21.208548150057432"/>
    <n v="0"/>
    <n v="0"/>
    <n v="0"/>
    <n v="21.208548150057432"/>
  </r>
  <r>
    <x v="0"/>
    <d v="2019-02-05T00:00:00"/>
    <d v="2019-02-20T00:00:00"/>
    <x v="10"/>
    <n v="9"/>
    <n v="1"/>
    <n v="3.4452834394041285"/>
    <n v="6.3301120928520218"/>
    <n v="6.3301120928520218"/>
    <n v="3.4452834394041285"/>
    <n v="2.8848286534478933"/>
    <n v="0.14496393941745345"/>
    <n v="3.0297925928653466"/>
    <n v="0"/>
    <n v="0"/>
    <n v="0"/>
    <n v="3.0297925928653466"/>
  </r>
  <r>
    <x v="1"/>
    <d v="2019-03-05T00:00:00"/>
    <d v="2019-03-20T00:00:00"/>
    <x v="10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2"/>
    <d v="2019-04-03T00:00:00"/>
    <d v="2019-04-18T00:00:00"/>
    <x v="10"/>
    <n v="9"/>
    <n v="1"/>
    <n v="3.4452834394041285"/>
    <n v="6.3301120928520218"/>
    <n v="6.3301120928520218"/>
    <n v="3.4452834394041285"/>
    <n v="2.8848286534478933"/>
    <n v="0.14496393941745345"/>
    <n v="3.0297925928653466"/>
    <n v="0"/>
    <n v="0"/>
    <n v="0"/>
    <n v="3.0297925928653466"/>
  </r>
  <r>
    <x v="3"/>
    <d v="2019-05-03T00:00:00"/>
    <d v="2019-05-20T00:00:00"/>
    <x v="10"/>
    <n v="9"/>
    <n v="3"/>
    <n v="3.4452834394041285"/>
    <n v="6.3301120928520218"/>
    <n v="18.990336278556065"/>
    <n v="10.335850318212385"/>
    <n v="8.6544859603436795"/>
    <n v="0.43489181825236028"/>
    <n v="9.0893777785960399"/>
    <n v="0"/>
    <n v="0"/>
    <n v="0"/>
    <n v="9.0893777785960399"/>
  </r>
  <r>
    <x v="4"/>
    <d v="2019-06-05T00:00:00"/>
    <d v="2019-06-20T00:00:00"/>
    <x v="10"/>
    <n v="9"/>
    <n v="3"/>
    <n v="3.4452834394041285"/>
    <n v="6.3301120928520218"/>
    <n v="18.990336278556065"/>
    <n v="10.335850318212385"/>
    <n v="8.6544859603436795"/>
    <n v="0.43489181825236028"/>
    <n v="9.0893777785960399"/>
    <n v="0"/>
    <n v="0"/>
    <n v="0"/>
    <n v="9.0893777785960399"/>
  </r>
  <r>
    <x v="5"/>
    <d v="2019-07-03T00:00:00"/>
    <d v="2019-07-18T00:00:00"/>
    <x v="10"/>
    <n v="9"/>
    <n v="2"/>
    <n v="3.4452834394041285"/>
    <n v="6.3301120928520218"/>
    <n v="12.660224185704044"/>
    <n v="6.890566878808257"/>
    <n v="5.7696573068957866"/>
    <n v="0.28992787883490689"/>
    <n v="6.0595851857306933"/>
    <n v="0"/>
    <n v="0"/>
    <n v="0"/>
    <n v="6.0595851857306933"/>
  </r>
  <r>
    <x v="6"/>
    <d v="2019-08-05T00:00:00"/>
    <d v="2019-08-20T00:00:00"/>
    <x v="10"/>
    <n v="9"/>
    <n v="6"/>
    <n v="3.4452834394041285"/>
    <n v="6.3301120928520218"/>
    <n v="37.980672557112129"/>
    <n v="20.67170063642477"/>
    <n v="17.308971920687359"/>
    <n v="0.86978363650472057"/>
    <n v="18.17875555719208"/>
    <n v="0"/>
    <n v="0"/>
    <n v="0"/>
    <n v="18.17875555719208"/>
  </r>
  <r>
    <x v="7"/>
    <d v="2019-09-04T00:00:00"/>
    <d v="2019-09-19T00:00:00"/>
    <x v="10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8"/>
    <d v="2019-10-03T00:00:00"/>
    <d v="2019-10-18T00:00:00"/>
    <x v="10"/>
    <n v="9"/>
    <n v="3"/>
    <n v="3.4452834394041285"/>
    <n v="6.3301120928520218"/>
    <n v="18.990336278556065"/>
    <n v="10.335850318212385"/>
    <n v="8.6544859603436795"/>
    <n v="0.43489181825236028"/>
    <n v="9.0893777785960399"/>
    <n v="0"/>
    <n v="0"/>
    <n v="0"/>
    <n v="9.0893777785960399"/>
  </r>
  <r>
    <x v="9"/>
    <d v="2019-11-05T00:00:00"/>
    <d v="2019-11-20T00:00:00"/>
    <x v="10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10"/>
    <d v="2019-12-04T00:00:00"/>
    <d v="2019-12-19T00:00:00"/>
    <x v="10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11"/>
    <d v="2020-01-03T00:00:00"/>
    <d v="2020-01-20T00:00:00"/>
    <x v="10"/>
    <n v="9"/>
    <n v="4"/>
    <n v="3.4452834394041285"/>
    <n v="6.3301120928520218"/>
    <n v="25.320448371408087"/>
    <n v="13.781133757616514"/>
    <n v="11.539314613791573"/>
    <n v="0.57985575766981379"/>
    <n v="12.119170371461387"/>
    <n v="0"/>
    <n v="0"/>
    <n v="0"/>
    <n v="12.119170371461387"/>
  </r>
  <r>
    <x v="0"/>
    <d v="2019-02-05T00:00:00"/>
    <d v="2019-02-20T00:00:00"/>
    <x v="11"/>
    <n v="9"/>
    <n v="108"/>
    <n v="3.4452834394041285"/>
    <n v="6.3301120928520218"/>
    <n v="683.65210602801835"/>
    <n v="372.0906114556459"/>
    <n v="311.56149457237245"/>
    <n v="15.656105457084971"/>
    <n v="327.2176000294574"/>
    <n v="0"/>
    <n v="0"/>
    <n v="0"/>
    <n v="327.2176000294574"/>
  </r>
  <r>
    <x v="1"/>
    <d v="2019-03-05T00:00:00"/>
    <d v="2019-03-20T00:00:00"/>
    <x v="11"/>
    <n v="9"/>
    <n v="116"/>
    <n v="3.4452834394041285"/>
    <n v="6.3301120928520218"/>
    <n v="734.29300277083451"/>
    <n v="399.65287897087893"/>
    <n v="334.64012379995557"/>
    <n v="16.815816972424599"/>
    <n v="351.45594077238019"/>
    <n v="0"/>
    <n v="0"/>
    <n v="0"/>
    <n v="351.45594077238019"/>
  </r>
  <r>
    <x v="2"/>
    <d v="2019-04-03T00:00:00"/>
    <d v="2019-04-18T00:00:00"/>
    <x v="11"/>
    <n v="9"/>
    <n v="115"/>
    <n v="3.4452834394041285"/>
    <n v="6.3301120928520218"/>
    <n v="727.9628906779825"/>
    <n v="396.20759553147479"/>
    <n v="331.75529514650771"/>
    <n v="16.670853033007145"/>
    <n v="348.42614817951483"/>
    <n v="0"/>
    <n v="0"/>
    <n v="0"/>
    <n v="348.42614817951483"/>
  </r>
  <r>
    <x v="3"/>
    <d v="2019-05-03T00:00:00"/>
    <d v="2019-05-20T00:00:00"/>
    <x v="11"/>
    <n v="9"/>
    <n v="96"/>
    <n v="3.4452834394041285"/>
    <n v="6.3301120928520218"/>
    <n v="607.69076091379407"/>
    <n v="330.74721018279632"/>
    <n v="276.94355073099774"/>
    <n v="13.916538184075529"/>
    <n v="290.86008891507328"/>
    <n v="0"/>
    <n v="0"/>
    <n v="0"/>
    <n v="290.86008891507328"/>
  </r>
  <r>
    <x v="4"/>
    <d v="2019-06-05T00:00:00"/>
    <d v="2019-06-20T00:00:00"/>
    <x v="11"/>
    <n v="9"/>
    <n v="127"/>
    <n v="3.4452834394041285"/>
    <n v="6.3301120928520218"/>
    <n v="803.92423579220679"/>
    <n v="437.55099680432431"/>
    <n v="366.37323898788247"/>
    <n v="18.410420306016587"/>
    <n v="384.78365929389906"/>
    <n v="0"/>
    <n v="0"/>
    <n v="0"/>
    <n v="384.78365929389906"/>
  </r>
  <r>
    <x v="5"/>
    <d v="2019-07-03T00:00:00"/>
    <d v="2019-07-18T00:00:00"/>
    <x v="11"/>
    <n v="9"/>
    <n v="143"/>
    <n v="3.4452834394041285"/>
    <n v="6.3301120928520218"/>
    <n v="905.20602927783909"/>
    <n v="492.67553183479038"/>
    <n v="412.53049744304872"/>
    <n v="20.72984333669584"/>
    <n v="433.26034077974458"/>
    <n v="0"/>
    <n v="0"/>
    <n v="0"/>
    <n v="433.26034077974458"/>
  </r>
  <r>
    <x v="6"/>
    <d v="2019-08-05T00:00:00"/>
    <d v="2019-08-20T00:00:00"/>
    <x v="11"/>
    <n v="9"/>
    <n v="153"/>
    <n v="3.4452834394041285"/>
    <n v="6.3301120928520218"/>
    <n v="968.50715020635937"/>
    <n v="527.12836622883162"/>
    <n v="441.37878397752775"/>
    <n v="22.179482730870376"/>
    <n v="463.55826670839815"/>
    <n v="0"/>
    <n v="0"/>
    <n v="0"/>
    <n v="463.55826670839815"/>
  </r>
  <r>
    <x v="7"/>
    <d v="2019-09-04T00:00:00"/>
    <d v="2019-09-19T00:00:00"/>
    <x v="11"/>
    <n v="9"/>
    <n v="162"/>
    <n v="3.4452834394041285"/>
    <n v="6.3301120928520218"/>
    <n v="1025.4781590420275"/>
    <n v="558.13591718346879"/>
    <n v="467.34224185855874"/>
    <n v="23.484158185627454"/>
    <n v="490.82640004418619"/>
    <n v="0"/>
    <n v="0"/>
    <n v="0"/>
    <n v="490.82640004418619"/>
  </r>
  <r>
    <x v="8"/>
    <d v="2019-10-03T00:00:00"/>
    <d v="2019-10-18T00:00:00"/>
    <x v="11"/>
    <n v="9"/>
    <n v="145"/>
    <n v="3.4452834394041285"/>
    <n v="6.3301120928520218"/>
    <n v="917.86625346354322"/>
    <n v="499.56609871359865"/>
    <n v="418.30015474994457"/>
    <n v="21.019771215530749"/>
    <n v="439.31992596547531"/>
    <n v="0"/>
    <n v="0"/>
    <n v="0"/>
    <n v="439.31992596547531"/>
  </r>
  <r>
    <x v="9"/>
    <d v="2019-11-05T00:00:00"/>
    <d v="2019-11-20T00:00:00"/>
    <x v="11"/>
    <n v="9"/>
    <n v="134"/>
    <n v="3.4452834394041285"/>
    <n v="6.3301120928520218"/>
    <n v="848.23502044217093"/>
    <n v="461.66798088015321"/>
    <n v="386.56703956201773"/>
    <n v="19.425167881938759"/>
    <n v="405.99220744395649"/>
    <n v="0"/>
    <n v="0"/>
    <n v="0"/>
    <n v="405.99220744395649"/>
  </r>
  <r>
    <x v="10"/>
    <d v="2019-12-04T00:00:00"/>
    <d v="2019-12-19T00:00:00"/>
    <x v="11"/>
    <n v="9"/>
    <n v="105"/>
    <n v="3.4452834394041285"/>
    <n v="6.3301120928520218"/>
    <n v="664.66176974946234"/>
    <n v="361.75476113743349"/>
    <n v="302.90700861202885"/>
    <n v="15.221213638832609"/>
    <n v="318.12822225086143"/>
    <n v="0"/>
    <n v="0"/>
    <n v="0"/>
    <n v="318.12822225086143"/>
  </r>
  <r>
    <x v="11"/>
    <d v="2020-01-03T00:00:00"/>
    <d v="2020-01-20T00:00:00"/>
    <x v="11"/>
    <n v="9"/>
    <n v="106"/>
    <n v="3.4452834394041285"/>
    <n v="6.3301120928520218"/>
    <n v="670.99188184231434"/>
    <n v="365.20004457683763"/>
    <n v="305.79183726547672"/>
    <n v="15.366177578250063"/>
    <n v="321.15801484372679"/>
    <n v="0"/>
    <n v="0"/>
    <n v="0"/>
    <n v="321.15801484372679"/>
  </r>
  <r>
    <x v="0"/>
    <d v="2019-02-05T00:00:00"/>
    <d v="2019-02-20T00:00:00"/>
    <x v="12"/>
    <n v="9"/>
    <n v="11"/>
    <n v="3.4452834394041285"/>
    <n v="6.3301120928520218"/>
    <n v="69.631233021372239"/>
    <n v="37.898117833445411"/>
    <n v="31.733115187926828"/>
    <n v="1.5946033335919878"/>
    <n v="33.327718521518818"/>
    <n v="0"/>
    <n v="0"/>
    <n v="0"/>
    <n v="33.327718521518818"/>
  </r>
  <r>
    <x v="1"/>
    <d v="2019-03-05T00:00:00"/>
    <d v="2019-03-20T00:00:00"/>
    <x v="12"/>
    <n v="9"/>
    <n v="9"/>
    <n v="3.4452834394041285"/>
    <n v="6.3301120928520218"/>
    <n v="56.971008835668194"/>
    <n v="31.007550954637157"/>
    <n v="25.963457881031037"/>
    <n v="1.3046754547570809"/>
    <n v="27.268133335788118"/>
    <n v="0"/>
    <n v="0"/>
    <n v="0"/>
    <n v="27.268133335788118"/>
  </r>
  <r>
    <x v="2"/>
    <d v="2019-04-03T00:00:00"/>
    <d v="2019-04-18T00:00:00"/>
    <x v="12"/>
    <n v="9"/>
    <n v="12"/>
    <n v="3.4452834394041285"/>
    <n v="6.3301120928520218"/>
    <n v="75.961345114224258"/>
    <n v="41.34340127284954"/>
    <n v="34.617943841374718"/>
    <n v="1.7395672730094411"/>
    <n v="36.35751111438416"/>
    <n v="0"/>
    <n v="0"/>
    <n v="0"/>
    <n v="36.35751111438416"/>
  </r>
  <r>
    <x v="3"/>
    <d v="2019-05-03T00:00:00"/>
    <d v="2019-05-20T00:00:00"/>
    <x v="12"/>
    <n v="9"/>
    <n v="10"/>
    <n v="3.4452834394041285"/>
    <n v="6.3301120928520218"/>
    <n v="63.30112092852022"/>
    <n v="34.452834394041282"/>
    <n v="28.848286534478937"/>
    <n v="1.4496393941745342"/>
    <n v="30.29792592865347"/>
    <n v="0"/>
    <n v="0"/>
    <n v="0"/>
    <n v="30.29792592865347"/>
  </r>
  <r>
    <x v="4"/>
    <d v="2019-06-05T00:00:00"/>
    <d v="2019-06-20T00:00:00"/>
    <x v="12"/>
    <n v="9"/>
    <n v="13"/>
    <n v="3.4452834394041285"/>
    <n v="6.3301120928520218"/>
    <n v="82.291457207076277"/>
    <n v="44.788684712253669"/>
    <n v="37.502772494822608"/>
    <n v="1.8845312124268947"/>
    <n v="39.387303707249501"/>
    <n v="0"/>
    <n v="0"/>
    <n v="0"/>
    <n v="39.387303707249501"/>
  </r>
  <r>
    <x v="5"/>
    <d v="2019-07-03T00:00:00"/>
    <d v="2019-07-18T00:00:00"/>
    <x v="12"/>
    <n v="9"/>
    <n v="12"/>
    <n v="3.4452834394041285"/>
    <n v="6.3301120928520218"/>
    <n v="75.961345114224258"/>
    <n v="41.34340127284954"/>
    <n v="34.617943841374718"/>
    <n v="1.7395672730094411"/>
    <n v="36.35751111438416"/>
    <n v="0"/>
    <n v="0"/>
    <n v="0"/>
    <n v="36.35751111438416"/>
  </r>
  <r>
    <x v="6"/>
    <d v="2019-08-05T00:00:00"/>
    <d v="2019-08-20T00:00:00"/>
    <x v="12"/>
    <n v="9"/>
    <n v="14"/>
    <n v="3.4452834394041285"/>
    <n v="6.3301120928520218"/>
    <n v="88.621569299928311"/>
    <n v="48.233968151657798"/>
    <n v="40.387601148270512"/>
    <n v="2.029495151844348"/>
    <n v="42.417096300114864"/>
    <n v="0"/>
    <n v="0"/>
    <n v="0"/>
    <n v="42.417096300114864"/>
  </r>
  <r>
    <x v="7"/>
    <d v="2019-09-04T00:00:00"/>
    <d v="2019-09-19T00:00:00"/>
    <x v="12"/>
    <n v="9"/>
    <n v="16"/>
    <n v="3.4452834394041285"/>
    <n v="6.3301120928520218"/>
    <n v="101.28179348563235"/>
    <n v="55.124535030466056"/>
    <n v="46.157258455166293"/>
    <n v="2.3194230306792551"/>
    <n v="48.476681485845546"/>
    <n v="0"/>
    <n v="0"/>
    <n v="0"/>
    <n v="48.476681485845546"/>
  </r>
  <r>
    <x v="8"/>
    <d v="2019-10-03T00:00:00"/>
    <d v="2019-10-18T00:00:00"/>
    <x v="12"/>
    <n v="9"/>
    <n v="13"/>
    <n v="3.4452834394041285"/>
    <n v="6.3301120928520218"/>
    <n v="82.291457207076277"/>
    <n v="44.788684712253669"/>
    <n v="37.502772494822608"/>
    <n v="1.8845312124268947"/>
    <n v="39.387303707249501"/>
    <n v="0"/>
    <n v="0"/>
    <n v="0"/>
    <n v="39.387303707249501"/>
  </r>
  <r>
    <x v="9"/>
    <d v="2019-11-05T00:00:00"/>
    <d v="2019-11-20T00:00:00"/>
    <x v="12"/>
    <n v="9"/>
    <n v="12"/>
    <n v="3.4452834394041285"/>
    <n v="6.3301120928520218"/>
    <n v="75.961345114224258"/>
    <n v="41.34340127284954"/>
    <n v="34.617943841374718"/>
    <n v="1.7395672730094411"/>
    <n v="36.35751111438416"/>
    <n v="0"/>
    <n v="0"/>
    <n v="0"/>
    <n v="36.35751111438416"/>
  </r>
  <r>
    <x v="10"/>
    <d v="2019-12-04T00:00:00"/>
    <d v="2019-12-19T00:00:00"/>
    <x v="12"/>
    <n v="9"/>
    <n v="9"/>
    <n v="3.4452834394041285"/>
    <n v="6.3301120928520218"/>
    <n v="56.971008835668194"/>
    <n v="31.007550954637157"/>
    <n v="25.963457881031037"/>
    <n v="1.3046754547570809"/>
    <n v="27.268133335788118"/>
    <n v="0"/>
    <n v="0"/>
    <n v="0"/>
    <n v="27.268133335788118"/>
  </r>
  <r>
    <x v="11"/>
    <d v="2020-01-03T00:00:00"/>
    <d v="2020-01-20T00:00:00"/>
    <x v="12"/>
    <n v="9"/>
    <n v="10"/>
    <n v="3.4452834394041285"/>
    <n v="6.3301120928520218"/>
    <n v="63.30112092852022"/>
    <n v="34.452834394041282"/>
    <n v="28.848286534478937"/>
    <n v="1.4496393941745342"/>
    <n v="30.29792592865347"/>
    <n v="0"/>
    <n v="0"/>
    <n v="0"/>
    <n v="30.29792592865347"/>
  </r>
  <r>
    <x v="0"/>
    <d v="2019-02-05T00:00:00"/>
    <d v="2019-02-20T00:00:00"/>
    <x v="13"/>
    <n v="9"/>
    <n v="22"/>
    <n v="3.4452834394041285"/>
    <n v="6.3301120928520218"/>
    <n v="139.26246604274448"/>
    <n v="75.796235666890823"/>
    <n v="63.466230375853655"/>
    <n v="3.1892066671839756"/>
    <n v="66.655437043037637"/>
    <n v="0"/>
    <n v="0"/>
    <n v="0"/>
    <n v="66.655437043037637"/>
  </r>
  <r>
    <x v="1"/>
    <d v="2019-03-05T00:00:00"/>
    <d v="2019-03-20T00:00:00"/>
    <x v="13"/>
    <n v="9"/>
    <n v="20"/>
    <n v="3.4452834394041285"/>
    <n v="6.3301120928520218"/>
    <n v="126.60224185704044"/>
    <n v="68.905668788082565"/>
    <n v="57.696573068957875"/>
    <n v="2.8992787883490685"/>
    <n v="60.59585185730694"/>
    <n v="0"/>
    <n v="0"/>
    <n v="0"/>
    <n v="60.59585185730694"/>
  </r>
  <r>
    <x v="2"/>
    <d v="2019-04-03T00:00:00"/>
    <d v="2019-04-18T00:00:00"/>
    <x v="13"/>
    <n v="9"/>
    <n v="21"/>
    <n v="3.4452834394041285"/>
    <n v="6.3301120928520218"/>
    <n v="132.93235394989244"/>
    <n v="72.350952227486701"/>
    <n v="60.581401722405744"/>
    <n v="3.0442427277665218"/>
    <n v="63.625644450172267"/>
    <n v="0"/>
    <n v="0"/>
    <n v="0"/>
    <n v="63.625644450172267"/>
  </r>
  <r>
    <x v="3"/>
    <d v="2019-05-03T00:00:00"/>
    <d v="2019-05-20T00:00:00"/>
    <x v="13"/>
    <n v="9"/>
    <n v="21"/>
    <n v="3.4452834394041285"/>
    <n v="6.3301120928520218"/>
    <n v="132.93235394989244"/>
    <n v="72.350952227486701"/>
    <n v="60.581401722405744"/>
    <n v="3.0442427277665218"/>
    <n v="63.625644450172267"/>
    <n v="0"/>
    <n v="0"/>
    <n v="0"/>
    <n v="63.625644450172267"/>
  </r>
  <r>
    <x v="4"/>
    <d v="2019-06-05T00:00:00"/>
    <d v="2019-06-20T00:00:00"/>
    <x v="13"/>
    <n v="9"/>
    <n v="30"/>
    <n v="3.4452834394041285"/>
    <n v="6.3301120928520218"/>
    <n v="189.90336278556066"/>
    <n v="103.35850318212385"/>
    <n v="86.544859603436805"/>
    <n v="4.3489181825236027"/>
    <n v="90.89377778596041"/>
    <n v="0"/>
    <n v="0"/>
    <n v="0"/>
    <n v="90.89377778596041"/>
  </r>
  <r>
    <x v="5"/>
    <d v="2019-07-03T00:00:00"/>
    <d v="2019-07-18T00:00:00"/>
    <x v="13"/>
    <n v="9"/>
    <n v="32"/>
    <n v="3.4452834394041285"/>
    <n v="6.3301120928520218"/>
    <n v="202.5635869712647"/>
    <n v="110.24907006093211"/>
    <n v="92.314516910332586"/>
    <n v="4.6388460613585103"/>
    <n v="96.953362971691092"/>
    <n v="0"/>
    <n v="0"/>
    <n v="0"/>
    <n v="96.953362971691092"/>
  </r>
  <r>
    <x v="6"/>
    <d v="2019-08-05T00:00:00"/>
    <d v="2019-08-20T00:00:00"/>
    <x v="13"/>
    <n v="9"/>
    <n v="33"/>
    <n v="3.4452834394041285"/>
    <n v="6.3301120928520218"/>
    <n v="208.89369906411673"/>
    <n v="113.69435350033623"/>
    <n v="95.199345563780497"/>
    <n v="4.7838100007759632"/>
    <n v="99.983155564556455"/>
    <n v="0"/>
    <n v="0"/>
    <n v="0"/>
    <n v="99.983155564556455"/>
  </r>
  <r>
    <x v="7"/>
    <d v="2019-09-04T00:00:00"/>
    <d v="2019-09-19T00:00:00"/>
    <x v="13"/>
    <n v="9"/>
    <n v="36"/>
    <n v="3.4452834394041285"/>
    <n v="6.3301120928520218"/>
    <n v="227.88403534267277"/>
    <n v="124.03020381854863"/>
    <n v="103.85383152412415"/>
    <n v="5.2187018190283236"/>
    <n v="109.07253334315247"/>
    <n v="0"/>
    <n v="0"/>
    <n v="0"/>
    <n v="109.07253334315247"/>
  </r>
  <r>
    <x v="8"/>
    <d v="2019-10-03T00:00:00"/>
    <d v="2019-10-18T00:00:00"/>
    <x v="13"/>
    <n v="9"/>
    <n v="34"/>
    <n v="3.4452834394041285"/>
    <n v="6.3301120928520218"/>
    <n v="215.22381115696874"/>
    <n v="117.13963693974037"/>
    <n v="98.084174217228366"/>
    <n v="4.928773940193417"/>
    <n v="103.01294815742179"/>
    <n v="0"/>
    <n v="0"/>
    <n v="0"/>
    <n v="103.01294815742179"/>
  </r>
  <r>
    <x v="9"/>
    <d v="2019-11-05T00:00:00"/>
    <d v="2019-11-20T00:00:00"/>
    <x v="13"/>
    <n v="9"/>
    <n v="34"/>
    <n v="3.4452834394041285"/>
    <n v="6.3301120928520218"/>
    <n v="215.22381115696874"/>
    <n v="117.13963693974037"/>
    <n v="98.084174217228366"/>
    <n v="4.928773940193417"/>
    <n v="103.01294815742179"/>
    <n v="0"/>
    <n v="0"/>
    <n v="0"/>
    <n v="103.01294815742179"/>
  </r>
  <r>
    <x v="10"/>
    <d v="2019-12-04T00:00:00"/>
    <d v="2019-12-19T00:00:00"/>
    <x v="13"/>
    <n v="9"/>
    <n v="21"/>
    <n v="3.4452834394041285"/>
    <n v="6.3301120928520218"/>
    <n v="132.93235394989244"/>
    <n v="72.350952227486701"/>
    <n v="60.581401722405744"/>
    <n v="3.0442427277665218"/>
    <n v="63.625644450172267"/>
    <n v="0"/>
    <n v="0"/>
    <n v="0"/>
    <n v="63.625644450172267"/>
  </r>
  <r>
    <x v="11"/>
    <d v="2020-01-03T00:00:00"/>
    <d v="2020-01-20T00:00:00"/>
    <x v="13"/>
    <n v="9"/>
    <n v="21"/>
    <n v="3.4452834394041285"/>
    <n v="6.3301120928520218"/>
    <n v="132.93235394989244"/>
    <n v="72.350952227486701"/>
    <n v="60.581401722405744"/>
    <n v="3.0442427277665218"/>
    <n v="63.625644450172267"/>
    <n v="0"/>
    <n v="0"/>
    <n v="0"/>
    <n v="63.625644450172267"/>
  </r>
  <r>
    <x v="0"/>
    <d v="2019-02-05T00:00:00"/>
    <d v="2019-02-20T00:00:00"/>
    <x v="14"/>
    <n v="9"/>
    <n v="43"/>
    <n v="3.4452834394041285"/>
    <n v="6.3301120928520218"/>
    <n v="272.19481999263695"/>
    <n v="148.14718789437754"/>
    <n v="124.04763209825941"/>
    <n v="6.2334493949504974"/>
    <n v="130.28108149320991"/>
    <n v="0"/>
    <n v="0"/>
    <n v="0"/>
    <n v="130.28108149320991"/>
  </r>
  <r>
    <x v="1"/>
    <d v="2019-03-05T00:00:00"/>
    <d v="2019-03-20T00:00:00"/>
    <x v="14"/>
    <n v="9"/>
    <n v="42"/>
    <n v="3.4452834394041285"/>
    <n v="6.3301120928520218"/>
    <n v="265.86470789978489"/>
    <n v="144.7019044549734"/>
    <n v="121.16280344481149"/>
    <n v="6.0884854555330437"/>
    <n v="127.25128890034453"/>
    <n v="0"/>
    <n v="0"/>
    <n v="0"/>
    <n v="127.25128890034453"/>
  </r>
  <r>
    <x v="2"/>
    <d v="2019-04-03T00:00:00"/>
    <d v="2019-04-18T00:00:00"/>
    <x v="14"/>
    <n v="9"/>
    <n v="42"/>
    <n v="3.4452834394041285"/>
    <n v="6.3301120928520218"/>
    <n v="265.86470789978489"/>
    <n v="144.7019044549734"/>
    <n v="121.16280344481149"/>
    <n v="6.0884854555330437"/>
    <n v="127.25128890034453"/>
    <n v="0"/>
    <n v="0"/>
    <n v="0"/>
    <n v="127.25128890034453"/>
  </r>
  <r>
    <x v="3"/>
    <d v="2019-05-03T00:00:00"/>
    <d v="2019-05-20T00:00:00"/>
    <x v="14"/>
    <n v="9"/>
    <n v="39"/>
    <n v="3.4452834394041285"/>
    <n v="6.3301120928520218"/>
    <n v="246.87437162122885"/>
    <n v="134.36605413676102"/>
    <n v="112.50831748446782"/>
    <n v="5.6535936372806841"/>
    <n v="118.1619111217485"/>
    <n v="0"/>
    <n v="0"/>
    <n v="0"/>
    <n v="118.1619111217485"/>
  </r>
  <r>
    <x v="4"/>
    <d v="2019-06-05T00:00:00"/>
    <d v="2019-06-20T00:00:00"/>
    <x v="14"/>
    <n v="9"/>
    <n v="49"/>
    <n v="3.4452834394041285"/>
    <n v="6.3301120928520218"/>
    <n v="310.17549254974909"/>
    <n v="168.8188885308023"/>
    <n v="141.3566040189468"/>
    <n v="7.1032330314552183"/>
    <n v="148.45983705040203"/>
    <n v="0"/>
    <n v="0"/>
    <n v="0"/>
    <n v="148.45983705040203"/>
  </r>
  <r>
    <x v="5"/>
    <d v="2019-07-03T00:00:00"/>
    <d v="2019-07-18T00:00:00"/>
    <x v="14"/>
    <n v="9"/>
    <n v="52"/>
    <n v="3.4452834394041285"/>
    <n v="6.3301120928520218"/>
    <n v="329.16582882830511"/>
    <n v="179.15473884901468"/>
    <n v="150.01108997929043"/>
    <n v="7.5381248497075788"/>
    <n v="157.549214828998"/>
    <n v="0"/>
    <n v="0"/>
    <n v="0"/>
    <n v="157.549214828998"/>
  </r>
  <r>
    <x v="6"/>
    <d v="2019-08-05T00:00:00"/>
    <d v="2019-08-20T00:00:00"/>
    <x v="14"/>
    <n v="9"/>
    <n v="53"/>
    <n v="3.4452834394041285"/>
    <n v="6.3301120928520218"/>
    <n v="335.49594092115717"/>
    <n v="182.60002228841881"/>
    <n v="152.89591863273836"/>
    <n v="7.6830887891250317"/>
    <n v="160.57900742186339"/>
    <n v="0"/>
    <n v="0"/>
    <n v="0"/>
    <n v="160.57900742186339"/>
  </r>
  <r>
    <x v="7"/>
    <d v="2019-09-04T00:00:00"/>
    <d v="2019-09-19T00:00:00"/>
    <x v="14"/>
    <n v="9"/>
    <n v="53"/>
    <n v="3.4452834394041285"/>
    <n v="6.3301120928520218"/>
    <n v="335.49594092115717"/>
    <n v="182.60002228841881"/>
    <n v="152.89591863273836"/>
    <n v="7.6830887891250317"/>
    <n v="160.57900742186339"/>
    <n v="0"/>
    <n v="0"/>
    <n v="0"/>
    <n v="160.57900742186339"/>
  </r>
  <r>
    <x v="8"/>
    <d v="2019-10-03T00:00:00"/>
    <d v="2019-10-18T00:00:00"/>
    <x v="14"/>
    <n v="9"/>
    <n v="49"/>
    <n v="3.4452834394041285"/>
    <n v="6.3301120928520218"/>
    <n v="310.17549254974909"/>
    <n v="168.8188885308023"/>
    <n v="141.3566040189468"/>
    <n v="7.1032330314552183"/>
    <n v="148.45983705040203"/>
    <n v="0"/>
    <n v="0"/>
    <n v="0"/>
    <n v="148.45983705040203"/>
  </r>
  <r>
    <x v="9"/>
    <d v="2019-11-05T00:00:00"/>
    <d v="2019-11-20T00:00:00"/>
    <x v="14"/>
    <n v="9"/>
    <n v="49"/>
    <n v="3.4452834394041285"/>
    <n v="6.3301120928520218"/>
    <n v="310.17549254974909"/>
    <n v="168.8188885308023"/>
    <n v="141.3566040189468"/>
    <n v="7.1032330314552183"/>
    <n v="148.45983705040203"/>
    <n v="0"/>
    <n v="0"/>
    <n v="0"/>
    <n v="148.45983705040203"/>
  </r>
  <r>
    <x v="10"/>
    <d v="2019-12-04T00:00:00"/>
    <d v="2019-12-19T00:00:00"/>
    <x v="14"/>
    <n v="9"/>
    <n v="35"/>
    <n v="3.4452834394041285"/>
    <n v="6.3301120928520218"/>
    <n v="221.55392324982077"/>
    <n v="120.58492037914449"/>
    <n v="100.96900287067628"/>
    <n v="5.0737378796108699"/>
    <n v="106.04274075028715"/>
    <n v="0"/>
    <n v="0"/>
    <n v="0"/>
    <n v="106.04274075028715"/>
  </r>
  <r>
    <x v="11"/>
    <d v="2020-01-03T00:00:00"/>
    <d v="2020-01-20T00:00:00"/>
    <x v="14"/>
    <n v="9"/>
    <n v="35"/>
    <n v="3.4452834394041285"/>
    <n v="6.3301120928520218"/>
    <n v="221.55392324982077"/>
    <n v="120.58492037914449"/>
    <n v="100.96900287067628"/>
    <n v="5.0737378796108699"/>
    <n v="106.04274075028715"/>
    <n v="0"/>
    <n v="0"/>
    <n v="0"/>
    <n v="106.04274075028715"/>
  </r>
  <r>
    <x v="0"/>
    <d v="2019-02-05T00:00:00"/>
    <d v="2019-02-20T00:00:00"/>
    <x v="15"/>
    <n v="9"/>
    <n v="104"/>
    <n v="3.4452834394041285"/>
    <n v="6.3301120928520218"/>
    <n v="658.33165765661022"/>
    <n v="358.30947769802935"/>
    <n v="300.02217995858086"/>
    <n v="15.076249699415158"/>
    <n v="315.09842965799601"/>
    <n v="0"/>
    <n v="0"/>
    <n v="0"/>
    <n v="315.09842965799601"/>
  </r>
  <r>
    <x v="1"/>
    <d v="2019-03-05T00:00:00"/>
    <d v="2019-03-20T00:00:00"/>
    <x v="15"/>
    <n v="9"/>
    <n v="103"/>
    <n v="3.4452834394041285"/>
    <n v="6.3301120928520218"/>
    <n v="652.00154556375821"/>
    <n v="354.86419425862522"/>
    <n v="297.137351305133"/>
    <n v="14.931285759997705"/>
    <n v="312.0686370651307"/>
    <n v="0"/>
    <n v="0"/>
    <n v="0"/>
    <n v="312.0686370651307"/>
  </r>
  <r>
    <x v="2"/>
    <d v="2019-04-03T00:00:00"/>
    <d v="2019-04-18T00:00:00"/>
    <x v="15"/>
    <n v="9"/>
    <n v="105"/>
    <n v="3.4452834394041285"/>
    <n v="6.3301120928520218"/>
    <n v="664.66176974946234"/>
    <n v="361.75476113743349"/>
    <n v="302.90700861202885"/>
    <n v="15.221213638832609"/>
    <n v="318.12822225086143"/>
    <n v="0"/>
    <n v="0"/>
    <n v="0"/>
    <n v="318.12822225086143"/>
  </r>
  <r>
    <x v="3"/>
    <d v="2019-05-03T00:00:00"/>
    <d v="2019-05-20T00:00:00"/>
    <x v="15"/>
    <n v="9"/>
    <n v="104"/>
    <n v="3.4452834394041285"/>
    <n v="6.3301120928520218"/>
    <n v="658.33165765661022"/>
    <n v="358.30947769802935"/>
    <n v="300.02217995858086"/>
    <n v="15.076249699415158"/>
    <n v="315.09842965799601"/>
    <n v="0"/>
    <n v="0"/>
    <n v="0"/>
    <n v="315.09842965799601"/>
  </r>
  <r>
    <x v="4"/>
    <d v="2019-06-05T00:00:00"/>
    <d v="2019-06-20T00:00:00"/>
    <x v="15"/>
    <n v="9"/>
    <n v="106"/>
    <n v="3.4452834394041285"/>
    <n v="6.3301120928520218"/>
    <n v="670.99188184231434"/>
    <n v="365.20004457683763"/>
    <n v="305.79183726547672"/>
    <n v="15.366177578250063"/>
    <n v="321.15801484372679"/>
    <n v="0"/>
    <n v="0"/>
    <n v="0"/>
    <n v="321.15801484372679"/>
  </r>
  <r>
    <x v="5"/>
    <d v="2019-07-03T00:00:00"/>
    <d v="2019-07-18T00:00:00"/>
    <x v="15"/>
    <n v="9"/>
    <n v="100"/>
    <n v="3.4452834394041285"/>
    <n v="6.3301120928520218"/>
    <n v="633.0112092852022"/>
    <n v="344.52834394041287"/>
    <n v="288.48286534478933"/>
    <n v="14.496393941745342"/>
    <n v="302.97925928653467"/>
    <n v="0"/>
    <n v="0"/>
    <n v="0"/>
    <n v="302.97925928653467"/>
  </r>
  <r>
    <x v="6"/>
    <d v="2019-08-05T00:00:00"/>
    <d v="2019-08-20T00:00:00"/>
    <x v="15"/>
    <n v="9"/>
    <n v="117"/>
    <n v="3.4452834394041285"/>
    <n v="6.3301120928520218"/>
    <n v="740.62311486368651"/>
    <n v="403.09816241028301"/>
    <n v="337.5249524534035"/>
    <n v="16.960780911842051"/>
    <n v="354.48573336524555"/>
    <n v="0"/>
    <n v="0"/>
    <n v="0"/>
    <n v="354.48573336524555"/>
  </r>
  <r>
    <x v="7"/>
    <d v="2019-09-04T00:00:00"/>
    <d v="2019-09-19T00:00:00"/>
    <x v="15"/>
    <n v="9"/>
    <n v="116"/>
    <n v="3.4452834394041285"/>
    <n v="6.3301120928520218"/>
    <n v="734.29300277083451"/>
    <n v="399.65287897087893"/>
    <n v="334.64012379995557"/>
    <n v="16.815816972424599"/>
    <n v="351.45594077238019"/>
    <n v="0"/>
    <n v="0"/>
    <n v="0"/>
    <n v="351.45594077238019"/>
  </r>
  <r>
    <x v="8"/>
    <d v="2019-10-03T00:00:00"/>
    <d v="2019-10-18T00:00:00"/>
    <x v="15"/>
    <n v="9"/>
    <n v="113"/>
    <n v="3.4452834394041285"/>
    <n v="6.3301120928520218"/>
    <n v="715.30266649227849"/>
    <n v="389.31702865266652"/>
    <n v="325.98563783961197"/>
    <n v="16.380925154172235"/>
    <n v="342.36656299378421"/>
    <n v="0"/>
    <n v="0"/>
    <n v="0"/>
    <n v="342.36656299378421"/>
  </r>
  <r>
    <x v="9"/>
    <d v="2019-11-05T00:00:00"/>
    <d v="2019-11-20T00:00:00"/>
    <x v="15"/>
    <n v="9"/>
    <n v="113"/>
    <n v="3.4452834394041285"/>
    <n v="6.3301120928520218"/>
    <n v="715.30266649227849"/>
    <n v="389.31702865266652"/>
    <n v="325.98563783961197"/>
    <n v="16.380925154172235"/>
    <n v="342.36656299378421"/>
    <n v="0"/>
    <n v="0"/>
    <n v="0"/>
    <n v="342.36656299378421"/>
  </r>
  <r>
    <x v="10"/>
    <d v="2019-12-04T00:00:00"/>
    <d v="2019-12-19T00:00:00"/>
    <x v="15"/>
    <n v="9"/>
    <n v="104"/>
    <n v="3.4452834394041285"/>
    <n v="6.3301120928520218"/>
    <n v="658.33165765661022"/>
    <n v="358.30947769802935"/>
    <n v="300.02217995858086"/>
    <n v="15.076249699415158"/>
    <n v="315.09842965799601"/>
    <n v="0"/>
    <n v="0"/>
    <n v="0"/>
    <n v="315.09842965799601"/>
  </r>
  <r>
    <x v="11"/>
    <d v="2020-01-03T00:00:00"/>
    <d v="2020-01-20T00:00:00"/>
    <x v="15"/>
    <n v="9"/>
    <n v="41"/>
    <n v="3.4452834394041285"/>
    <n v="6.3301120928520218"/>
    <n v="259.53459580693288"/>
    <n v="141.25662101556927"/>
    <n v="118.27797479136362"/>
    <n v="5.9435215161155908"/>
    <n v="124.22149630747921"/>
    <n v="0"/>
    <n v="0"/>
    <n v="0"/>
    <n v="124.22149630747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1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21">
        <item m="1" x="75"/>
        <item m="1" x="60"/>
        <item m="1" x="51"/>
        <item m="1" x="42"/>
        <item m="1" x="33"/>
        <item m="1" x="24"/>
        <item m="1" x="15"/>
        <item m="1" x="114"/>
        <item m="1" x="105"/>
        <item m="1" x="95"/>
        <item m="1" x="78"/>
        <item m="1" x="62"/>
        <item m="1" x="79"/>
        <item m="1" x="63"/>
        <item m="1" x="53"/>
        <item m="1" x="44"/>
        <item m="1" x="35"/>
        <item m="1" x="26"/>
        <item m="1" x="17"/>
        <item m="1" x="116"/>
        <item m="1" x="107"/>
        <item m="1" x="98"/>
        <item m="1" x="82"/>
        <item m="1" x="65"/>
        <item m="1" x="83"/>
        <item m="1" x="66"/>
        <item m="1" x="55"/>
        <item m="1" x="46"/>
        <item m="1" x="37"/>
        <item m="1" x="28"/>
        <item m="1" x="19"/>
        <item m="1" x="118"/>
        <item m="1" x="109"/>
        <item m="1" x="100"/>
        <item m="1" x="85"/>
        <item m="1" x="67"/>
        <item m="1" x="86"/>
        <item m="1" x="68"/>
        <item m="1" x="56"/>
        <item m="1" x="47"/>
        <item m="1" x="38"/>
        <item m="1" x="29"/>
        <item m="1" x="20"/>
        <item m="1" x="119"/>
        <item m="1" x="110"/>
        <item m="1" x="101"/>
        <item m="1" x="87"/>
        <item m="1" x="69"/>
        <item m="1" x="88"/>
        <item m="1" x="70"/>
        <item m="1" x="57"/>
        <item m="1" x="48"/>
        <item m="1" x="39"/>
        <item m="1" x="30"/>
        <item m="1" x="21"/>
        <item m="1" x="12"/>
        <item m="1" x="111"/>
        <item m="1" x="102"/>
        <item m="1" x="89"/>
        <item m="1" x="71"/>
        <item m="1" x="90"/>
        <item m="1" x="72"/>
        <item m="1" x="58"/>
        <item m="1" x="49"/>
        <item m="1" x="40"/>
        <item m="1" x="31"/>
        <item m="1" x="22"/>
        <item m="1" x="13"/>
        <item m="1" x="112"/>
        <item m="1" x="103"/>
        <item m="1" x="91"/>
        <item m="1" x="73"/>
        <item m="1" x="92"/>
        <item m="1" x="74"/>
        <item m="1" x="59"/>
        <item m="1" x="50"/>
        <item m="1" x="41"/>
        <item m="1" x="32"/>
        <item m="1" x="23"/>
        <item m="1" x="14"/>
        <item m="1" x="113"/>
        <item m="1" x="104"/>
        <item m="1" x="93"/>
        <item m="1" x="76"/>
        <item m="1" x="94"/>
        <item m="1" x="77"/>
        <item m="1" x="61"/>
        <item m="1" x="52"/>
        <item m="1" x="43"/>
        <item m="1" x="34"/>
        <item m="1" x="25"/>
        <item m="1" x="16"/>
        <item m="1" x="115"/>
        <item m="1" x="106"/>
        <item m="1" x="96"/>
        <item m="1" x="80"/>
        <item m="1" x="97"/>
        <item m="1" x="81"/>
        <item m="1" x="64"/>
        <item m="1" x="54"/>
        <item m="1" x="45"/>
        <item m="1" x="36"/>
        <item m="1" x="27"/>
        <item m="1" x="18"/>
        <item m="1" x="117"/>
        <item m="1" x="108"/>
        <item m="1" x="99"/>
        <item m="1" x="8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IV65536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4"/>
  <sheetViews>
    <sheetView tabSelected="1" zoomScale="85" zoomScaleNormal="85" zoomScaleSheetLayoutView="100" workbookViewId="0">
      <selection activeCell="F14" sqref="F14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51" t="str">
        <f>+Transactions!B1</f>
        <v>AEPTCo Formula Rate -- FERC Docket ER18-194</v>
      </c>
      <c r="D1" s="251"/>
      <c r="E1" s="251"/>
      <c r="F1" s="251"/>
      <c r="G1" s="251"/>
      <c r="H1" s="251"/>
      <c r="I1" s="251"/>
      <c r="L1" s="6">
        <v>2020</v>
      </c>
    </row>
    <row r="2" spans="2:19" ht="13" x14ac:dyDescent="0.3">
      <c r="C2" s="251" t="s">
        <v>103</v>
      </c>
      <c r="D2" s="251"/>
      <c r="E2" s="251"/>
      <c r="F2" s="251"/>
      <c r="G2" s="251"/>
      <c r="H2" s="251"/>
      <c r="I2" s="251"/>
    </row>
    <row r="3" spans="2:19" ht="13" x14ac:dyDescent="0.3">
      <c r="C3" s="251" t="str">
        <f>"for period 01/01/"&amp;F8&amp;" - 12/31/"&amp;F8</f>
        <v>for period 01/01/2019 - 12/31/2019</v>
      </c>
      <c r="D3" s="251"/>
      <c r="E3" s="251"/>
      <c r="F3" s="251"/>
      <c r="G3" s="251"/>
      <c r="H3" s="251"/>
      <c r="I3" s="251"/>
    </row>
    <row r="4" spans="2:19" ht="13" x14ac:dyDescent="0.3">
      <c r="C4" s="251" t="s">
        <v>84</v>
      </c>
      <c r="D4" s="251"/>
      <c r="E4" s="251"/>
      <c r="F4" s="251"/>
      <c r="G4" s="251"/>
      <c r="H4" s="251"/>
      <c r="I4" s="251"/>
    </row>
    <row r="5" spans="2:19" x14ac:dyDescent="0.25">
      <c r="C5" s="7" t="str">
        <f>"Prepared:  May 22_, "&amp;L1&amp;""</f>
        <v>Prepared:  May 22_, 2020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2019</v>
      </c>
    </row>
    <row r="9" spans="2:19" ht="20.25" customHeight="1" x14ac:dyDescent="0.3">
      <c r="E9" s="12" t="s">
        <v>96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2019 Projections 2019)</v>
      </c>
      <c r="F10" s="18" t="str">
        <f>"(per "&amp;F8+1&amp;" Update of May "&amp;F8+1&amp;")"</f>
        <v>(per 2020 Update of May 2020)</v>
      </c>
      <c r="G10" s="19"/>
      <c r="H10" s="20"/>
    </row>
    <row r="11" spans="2:19" ht="21.75" customHeight="1" x14ac:dyDescent="0.25">
      <c r="B11" s="21"/>
      <c r="C11" s="22" t="s">
        <v>38</v>
      </c>
      <c r="D11" s="23" t="s">
        <v>36</v>
      </c>
      <c r="E11" s="24">
        <f>Transactions!K2</f>
        <v>347036.51028429903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653381.51</v>
      </c>
      <c r="G12" s="32"/>
      <c r="H12" s="33"/>
      <c r="K12" s="34"/>
    </row>
    <row r="13" spans="2:19" ht="21.75" customHeight="1" x14ac:dyDescent="0.25">
      <c r="B13" s="35"/>
      <c r="C13" s="36" t="s">
        <v>39</v>
      </c>
      <c r="D13" s="37" t="s">
        <v>37</v>
      </c>
      <c r="E13" s="38">
        <f>Transactions!K3</f>
        <v>3.4452834394041285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6.3301120928520218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95</v>
      </c>
      <c r="I19" s="56" t="s">
        <v>94</v>
      </c>
      <c r="J19" s="57" t="s">
        <v>97</v>
      </c>
      <c r="K19" s="58" t="s">
        <v>98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51</v>
      </c>
      <c r="D20" s="60" t="str">
        <f>"Actual Charge
("&amp;F8&amp;" True-Up)"</f>
        <v>Actual Charge
(2019 True-Up)</v>
      </c>
      <c r="E20" s="61" t="str">
        <f>"Invoiced for
CY"&amp;F8&amp;" Transmission Service"</f>
        <v>Invoiced for
CY2019 Transmission Service</v>
      </c>
      <c r="F20" s="60" t="s">
        <v>40</v>
      </c>
      <c r="G20" s="62" t="s">
        <v>7</v>
      </c>
      <c r="H20" s="62" t="s">
        <v>89</v>
      </c>
      <c r="I20" s="63" t="s">
        <v>45</v>
      </c>
      <c r="J20" s="64" t="s">
        <v>99</v>
      </c>
      <c r="K20" s="65" t="s">
        <v>102</v>
      </c>
      <c r="N20" s="52"/>
      <c r="O20" s="53"/>
      <c r="P20" s="53"/>
      <c r="Q20" s="53"/>
      <c r="R20" s="53"/>
      <c r="S20" s="53"/>
    </row>
    <row r="21" spans="2:19" x14ac:dyDescent="0.25">
      <c r="B21" s="66"/>
      <c r="C21" s="67" t="s">
        <v>14</v>
      </c>
      <c r="D21" s="68">
        <f>GETPIVOTDATA("Sum of "&amp;T(Transactions!$J$19),Pivot!$A$3,"Customer",C21)</f>
        <v>58154.739797031536</v>
      </c>
      <c r="E21" s="68">
        <f>GETPIVOTDATA("Sum of "&amp;T(Transactions!$K$19),Pivot!$A$3,"Customer",C21)</f>
        <v>31651.818957805732</v>
      </c>
      <c r="F21" s="68">
        <f>D21-E21</f>
        <v>26502.920839225804</v>
      </c>
      <c r="G21" s="53">
        <f>+GETPIVOTDATA("Sum of "&amp;T(Transactions!$M$19),Pivot!$A$3,"Customer","AECC")</f>
        <v>1331.7837114281447</v>
      </c>
      <c r="H21" s="53">
        <f>GETPIVOTDATA("Sum of "&amp;T(Transactions!$Q$19),Pivot!$A$3,"Customer","AECC")</f>
        <v>0</v>
      </c>
      <c r="I21" s="69">
        <f>F21+G21-H21</f>
        <v>27834.704550653951</v>
      </c>
      <c r="J21" s="70"/>
      <c r="K21" s="71">
        <f>I21+J21</f>
        <v>27834.704550653951</v>
      </c>
      <c r="L21" s="66"/>
      <c r="N21" s="52"/>
      <c r="O21" s="53"/>
      <c r="P21" s="53"/>
      <c r="Q21" s="53"/>
      <c r="R21" s="53"/>
      <c r="S21" s="53"/>
    </row>
    <row r="22" spans="2:19" x14ac:dyDescent="0.25">
      <c r="B22" s="66"/>
      <c r="C22" s="72" t="s">
        <v>86</v>
      </c>
      <c r="D22" s="68">
        <f>GETPIVOTDATA("Sum of "&amp;T(Transactions!$J$19),Pivot!$A$3,"Customer",C22)</f>
        <v>3025.7935803832661</v>
      </c>
      <c r="E22" s="68">
        <f>GETPIVOTDATA("Sum of "&amp;T(Transactions!$K$19),Pivot!$A$3,"Customer",C22)</f>
        <v>1646.8454840351733</v>
      </c>
      <c r="F22" s="68">
        <f>D22-E22</f>
        <v>1378.9480963480928</v>
      </c>
      <c r="G22" s="53">
        <f>+GETPIVOTDATA("Sum of "&amp;T(Transactions!$M$19),Pivot!$A$3,"Customer","AECI")</f>
        <v>69.292763041542727</v>
      </c>
      <c r="H22" s="53">
        <f>GETPIVOTDATA("Sum of "&amp;T(Transactions!$Q$19),Pivot!$A$3,"Customer",C22)</f>
        <v>0</v>
      </c>
      <c r="I22" s="69">
        <f t="shared" ref="I22:I33" si="0">F22+G22-H22</f>
        <v>1448.2408593896355</v>
      </c>
      <c r="J22" s="70"/>
      <c r="K22" s="71">
        <f t="shared" ref="K22:K39" si="1">I22+J22</f>
        <v>1448.2408593896355</v>
      </c>
      <c r="L22" s="66"/>
      <c r="N22" s="52"/>
      <c r="O22" s="53"/>
      <c r="P22" s="53"/>
      <c r="Q22" s="53"/>
      <c r="R22" s="53"/>
      <c r="S22" s="53"/>
    </row>
    <row r="23" spans="2:19" x14ac:dyDescent="0.25">
      <c r="B23" s="66"/>
      <c r="C23" s="72" t="s">
        <v>55</v>
      </c>
      <c r="D23" s="68">
        <f>GETPIVOTDATA("Sum of "&amp;T(Transactions!$J$19),Pivot!$A$3,"Customer",C23)</f>
        <v>9558.4692602065516</v>
      </c>
      <c r="E23" s="68">
        <f>GETPIVOTDATA("Sum of "&amp;T(Transactions!$K$19),Pivot!$A$3,"Customer",C23)</f>
        <v>5202.3779935002331</v>
      </c>
      <c r="F23" s="68">
        <f t="shared" ref="F23:F35" si="2">D23-E23</f>
        <v>4356.0912667063185</v>
      </c>
      <c r="G23" s="53">
        <f>+GETPIVOTDATA("Sum of "&amp;T(Transactions!$M$19),Pivot!$A$3,"Customer","Bentonville, AR")</f>
        <v>218.89554852035468</v>
      </c>
      <c r="H23" s="53">
        <f>GETPIVOTDATA("Sum of "&amp;T(Transactions!$Q$19),Pivot!$A$3,"Customer",C23)</f>
        <v>0</v>
      </c>
      <c r="I23" s="69">
        <f t="shared" si="0"/>
        <v>4574.9868152266736</v>
      </c>
      <c r="J23" s="70"/>
      <c r="K23" s="71">
        <f t="shared" si="1"/>
        <v>4574.9868152266736</v>
      </c>
      <c r="L23" s="66"/>
      <c r="N23" s="52"/>
      <c r="O23" s="53"/>
      <c r="P23" s="53"/>
      <c r="Q23" s="53"/>
      <c r="R23" s="53"/>
      <c r="S23" s="53"/>
    </row>
    <row r="24" spans="2:19" x14ac:dyDescent="0.25">
      <c r="B24" s="66"/>
      <c r="C24" s="67" t="s">
        <v>17</v>
      </c>
      <c r="D24" s="68">
        <f>GETPIVOTDATA("Sum of "&amp;T(Transactions!$J$19),Pivot!$A$3,"Customer",C24)</f>
        <v>7760.7174258365776</v>
      </c>
      <c r="E24" s="68">
        <f>GETPIVOTDATA("Sum of "&amp;T(Transactions!$K$19),Pivot!$A$3,"Customer",C24)</f>
        <v>4223.9174967094614</v>
      </c>
      <c r="F24" s="68">
        <f t="shared" si="2"/>
        <v>3536.7999291271162</v>
      </c>
      <c r="G24" s="53">
        <f>+GETPIVOTDATA("Sum of "&amp;T(Transactions!$M$19),Pivot!$A$3,"Customer","Coffeyville, KS")</f>
        <v>177.72578972579794</v>
      </c>
      <c r="H24" s="53">
        <f>GETPIVOTDATA("Sum of "&amp;T(Transactions!$Q$19),Pivot!$A$3,"Customer",C24)</f>
        <v>0</v>
      </c>
      <c r="I24" s="69">
        <f t="shared" si="0"/>
        <v>3714.525718852914</v>
      </c>
      <c r="J24" s="70"/>
      <c r="K24" s="71">
        <f t="shared" si="1"/>
        <v>3714.525718852914</v>
      </c>
      <c r="L24" s="66"/>
      <c r="N24" s="52"/>
      <c r="O24" s="53"/>
      <c r="P24" s="53"/>
      <c r="Q24" s="53"/>
      <c r="R24" s="53"/>
      <c r="S24" s="53"/>
    </row>
    <row r="25" spans="2:19" x14ac:dyDescent="0.25">
      <c r="B25" s="66"/>
      <c r="C25" s="72" t="s">
        <v>13</v>
      </c>
      <c r="D25" s="68">
        <f>GETPIVOTDATA("Sum of "&amp;T(Transactions!$J$19),Pivot!$A$3,"Customer",C25)</f>
        <v>66883.964373074457</v>
      </c>
      <c r="E25" s="68">
        <f>GETPIVOTDATA("Sum of "&amp;T(Transactions!$K$19),Pivot!$A$3,"Customer",C25)</f>
        <v>36402.864820744027</v>
      </c>
      <c r="F25" s="68">
        <f t="shared" si="2"/>
        <v>30481.09955233043</v>
      </c>
      <c r="G25" s="53">
        <f>+GETPIVOTDATA("Sum of "&amp;T(Transactions!$M$19),Pivot!$A$3,"Customer","ETEC")</f>
        <v>1531.6889838848126</v>
      </c>
      <c r="H25" s="53">
        <f>GETPIVOTDATA("Sum of "&amp;T(Transactions!$Q$19),Pivot!$A$3,"Customer",C25)</f>
        <v>0</v>
      </c>
      <c r="I25" s="69">
        <f t="shared" si="0"/>
        <v>32012.788536215241</v>
      </c>
      <c r="J25" s="70"/>
      <c r="K25" s="71">
        <f t="shared" si="1"/>
        <v>32012.788536215241</v>
      </c>
      <c r="L25" s="66"/>
      <c r="N25" s="54"/>
      <c r="O25" s="53"/>
      <c r="P25" s="53"/>
      <c r="Q25" s="53"/>
      <c r="R25" s="53"/>
      <c r="S25" s="53"/>
    </row>
    <row r="26" spans="2:19" x14ac:dyDescent="0.25">
      <c r="B26" s="66"/>
      <c r="C26" s="67" t="s">
        <v>15</v>
      </c>
      <c r="D26" s="68">
        <f>GETPIVOTDATA("Sum of "&amp;T(Transactions!$J$19),Pivot!$A$3,"Customer",C26)</f>
        <v>652.00154556375821</v>
      </c>
      <c r="E26" s="68">
        <f>GETPIVOTDATA("Sum of "&amp;T(Transactions!$K$19),Pivot!$A$3,"Customer",C26)</f>
        <v>354.86419425862522</v>
      </c>
      <c r="F26" s="68">
        <f t="shared" si="2"/>
        <v>297.137351305133</v>
      </c>
      <c r="G26" s="53">
        <f>+GETPIVOTDATA("Sum of "&amp;T(Transactions!$M$19),Pivot!$A$3,"Customer","Greenbelt")</f>
        <v>14.931285759997703</v>
      </c>
      <c r="H26" s="53">
        <f>GETPIVOTDATA("Sum of "&amp;T(Transactions!$Q$19),Pivot!$A$3,"Customer",C26)</f>
        <v>0</v>
      </c>
      <c r="I26" s="69">
        <f t="shared" si="0"/>
        <v>312.0686370651307</v>
      </c>
      <c r="J26" s="70"/>
      <c r="K26" s="71">
        <f t="shared" si="1"/>
        <v>312.0686370651307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5">
      <c r="B27" s="66"/>
      <c r="C27" s="67" t="s">
        <v>58</v>
      </c>
      <c r="D27" s="68">
        <f>GETPIVOTDATA("Sum of "&amp;T(Transactions!$J$19),Pivot!$A$3,"Customer",C27)</f>
        <v>3424.5906422329435</v>
      </c>
      <c r="E27" s="68">
        <f>GETPIVOTDATA("Sum of "&amp;T(Transactions!$K$19),Pivot!$A$3,"Customer",C27)</f>
        <v>1863.8983407176333</v>
      </c>
      <c r="F27" s="68">
        <f t="shared" si="2"/>
        <v>1560.6923015153102</v>
      </c>
      <c r="G27" s="53">
        <f>+GETPIVOTDATA("Sum of "&amp;T(Transactions!$M$19),Pivot!$A$3,"Customer","Hope, AR")</f>
        <v>78.425491224842318</v>
      </c>
      <c r="H27" s="53">
        <f>GETPIVOTDATA("Sum of "&amp;T(Transactions!$Q$19),Pivot!$A$3,"Customer",C27)</f>
        <v>0</v>
      </c>
      <c r="I27" s="69">
        <f t="shared" si="0"/>
        <v>1639.1177927401525</v>
      </c>
      <c r="J27" s="70"/>
      <c r="K27" s="71">
        <f t="shared" si="1"/>
        <v>1639.1177927401525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5">
      <c r="B28" s="66"/>
      <c r="C28" s="67" t="s">
        <v>16</v>
      </c>
      <c r="D28" s="68">
        <f>GETPIVOTDATA("Sum of "&amp;T(Transactions!$J$19),Pivot!$A$3,"Customer",C28)</f>
        <v>246.87437162122882</v>
      </c>
      <c r="E28" s="68">
        <f>GETPIVOTDATA("Sum of "&amp;T(Transactions!$K$19),Pivot!$A$3,"Customer",C28)</f>
        <v>134.36605413676099</v>
      </c>
      <c r="F28" s="68">
        <f t="shared" si="2"/>
        <v>112.50831748446782</v>
      </c>
      <c r="G28" s="53">
        <f>+GETPIVOTDATA("Sum of "&amp;T(Transactions!$M$19),Pivot!$A$3,"Customer","Lighthouse")</f>
        <v>5.6535936372806841</v>
      </c>
      <c r="H28" s="53">
        <f>GETPIVOTDATA("Sum of "&amp;T(Transactions!$Q$19),Pivot!$A$3,"Customer",C28)</f>
        <v>0</v>
      </c>
      <c r="I28" s="69">
        <f t="shared" si="0"/>
        <v>118.1619111217485</v>
      </c>
      <c r="J28" s="70"/>
      <c r="K28" s="71">
        <f t="shared" si="1"/>
        <v>118.1619111217485</v>
      </c>
      <c r="L28" s="66"/>
      <c r="N28" s="52"/>
      <c r="O28" s="53"/>
      <c r="P28" s="53"/>
      <c r="Q28" s="53"/>
      <c r="R28" s="53"/>
      <c r="S28" s="53"/>
    </row>
    <row r="29" spans="2:19" x14ac:dyDescent="0.25">
      <c r="B29" s="66"/>
      <c r="C29" s="72" t="s">
        <v>57</v>
      </c>
      <c r="D29" s="68">
        <f>GETPIVOTDATA("Sum of "&amp;T(Transactions!$J$19),Pivot!$A$3,"Customer",C29)</f>
        <v>2057.2864301769068</v>
      </c>
      <c r="E29" s="68">
        <f>GETPIVOTDATA("Sum of "&amp;T(Transactions!$K$19),Pivot!$A$3,"Customer",C29)</f>
        <v>1119.7171178063418</v>
      </c>
      <c r="F29" s="68">
        <f t="shared" si="2"/>
        <v>937.56931237056506</v>
      </c>
      <c r="G29" s="53">
        <f>+GETPIVOTDATA("Sum of "&amp;T(Transactions!$M$19),Pivot!$A$3,"Customer","Minden, LA")</f>
        <v>47.113280310672366</v>
      </c>
      <c r="H29" s="53">
        <f>GETPIVOTDATA("Sum of "&amp;T(Transactions!$Q$19),Pivot!$A$3,"Customer",C29)</f>
        <v>0</v>
      </c>
      <c r="I29" s="69">
        <f t="shared" si="0"/>
        <v>984.68259268123745</v>
      </c>
      <c r="J29" s="70"/>
      <c r="K29" s="71">
        <f t="shared" si="1"/>
        <v>984.68259268123745</v>
      </c>
      <c r="L29" s="66"/>
      <c r="N29" s="52"/>
      <c r="O29" s="53"/>
      <c r="P29" s="53"/>
      <c r="Q29" s="53"/>
      <c r="R29" s="53"/>
      <c r="S29" s="53"/>
    </row>
    <row r="30" spans="2:19" x14ac:dyDescent="0.25">
      <c r="B30" s="66"/>
      <c r="C30" s="72" t="s">
        <v>19</v>
      </c>
      <c r="D30" s="68">
        <f>GETPIVOTDATA("Sum of "&amp;T(Transactions!$J$19),Pivot!$A$3,"Customer",C30)</f>
        <v>3152.3958222403066</v>
      </c>
      <c r="E30" s="68">
        <f>GETPIVOTDATA("Sum of "&amp;T(Transactions!$K$19),Pivot!$A$3,"Customer",C30)</f>
        <v>1715.751152823256</v>
      </c>
      <c r="F30" s="68">
        <f t="shared" si="2"/>
        <v>1436.6446694170506</v>
      </c>
      <c r="G30" s="53">
        <f>+GETPIVOTDATA("Sum of "&amp;T(Transactions!$M$19),Pivot!$A$3,"Customer","OG&amp;E")</f>
        <v>72.192041829891821</v>
      </c>
      <c r="H30" s="53">
        <f>GETPIVOTDATA("Sum of "&amp;T(Transactions!$Q$19),Pivot!$A$3,"Customer",C30)</f>
        <v>0</v>
      </c>
      <c r="I30" s="69">
        <f t="shared" si="0"/>
        <v>1508.8367112469425</v>
      </c>
      <c r="J30" s="70"/>
      <c r="K30" s="71">
        <f t="shared" si="1"/>
        <v>1508.8367112469425</v>
      </c>
      <c r="L30" s="66"/>
    </row>
    <row r="31" spans="2:19" x14ac:dyDescent="0.25">
      <c r="B31" s="66"/>
      <c r="C31" s="67" t="s">
        <v>8</v>
      </c>
      <c r="D31" s="68">
        <f>GETPIVOTDATA("Sum of "&amp;T(Transactions!$J$19),Pivot!$A$3,"Customer",C31)</f>
        <v>8121.5338151291444</v>
      </c>
      <c r="E31" s="68">
        <f>GETPIVOTDATA("Sum of "&amp;T(Transactions!$K$19),Pivot!$A$3,"Customer",C31)</f>
        <v>4420.2986527554967</v>
      </c>
      <c r="F31" s="68">
        <f t="shared" si="2"/>
        <v>3701.2351623736477</v>
      </c>
      <c r="G31" s="53">
        <f>+GETPIVOTDATA("Sum of "&amp;T(Transactions!$M$19),Pivot!$A$3,"Customer","OMPA")</f>
        <v>185.98873427259275</v>
      </c>
      <c r="H31" s="53">
        <f>GETPIVOTDATA("Sum of "&amp;T(Transactions!$Q$19),Pivot!$A$3,"Customer",C31)</f>
        <v>0</v>
      </c>
      <c r="I31" s="69">
        <f t="shared" si="0"/>
        <v>3887.2238966462405</v>
      </c>
      <c r="J31" s="70"/>
      <c r="K31" s="71">
        <f t="shared" si="1"/>
        <v>3887.2238966462405</v>
      </c>
      <c r="L31" s="66"/>
    </row>
    <row r="32" spans="2:19" x14ac:dyDescent="0.25">
      <c r="B32" s="66"/>
      <c r="C32" s="67" t="s">
        <v>56</v>
      </c>
      <c r="D32" s="68">
        <f>GETPIVOTDATA("Sum of "&amp;T(Transactions!$J$19),Pivot!$A$3,"Customer",C32)</f>
        <v>892.54580509213497</v>
      </c>
      <c r="E32" s="68">
        <f>GETPIVOTDATA("Sum of "&amp;T(Transactions!$K$19),Pivot!$A$3,"Customer",C32)</f>
        <v>485.7849649559821</v>
      </c>
      <c r="F32" s="68">
        <f t="shared" si="2"/>
        <v>406.76084013615286</v>
      </c>
      <c r="G32" s="53">
        <f>+GETPIVOTDATA("Sum of "&amp;T(Transactions!$M$19),Pivot!$A$3,"Customer","Prescott, AR")</f>
        <v>20.439915457860934</v>
      </c>
      <c r="H32" s="53">
        <f>GETPIVOTDATA("Sum of "&amp;T(Transactions!$Q$19),Pivot!$A$3,"Customer",C32)</f>
        <v>0</v>
      </c>
      <c r="I32" s="69">
        <f t="shared" si="0"/>
        <v>427.2007555940138</v>
      </c>
      <c r="J32" s="70"/>
      <c r="K32" s="71">
        <f t="shared" si="1"/>
        <v>427.2007555940138</v>
      </c>
      <c r="L32" s="66"/>
    </row>
    <row r="33" spans="2:13" x14ac:dyDescent="0.25">
      <c r="B33" s="66"/>
      <c r="C33" s="74" t="s">
        <v>9</v>
      </c>
      <c r="D33" s="68">
        <f>GETPIVOTDATA("Sum of "&amp;T(Transactions!$J$19),Pivot!$A$3,"Customer",C33)</f>
        <v>2861.2106659691135</v>
      </c>
      <c r="E33" s="68">
        <f>GETPIVOTDATA("Sum of "&amp;T(Transactions!$K$19),Pivot!$A$3,"Customer",C33)</f>
        <v>1557.2681146106661</v>
      </c>
      <c r="F33" s="68">
        <f t="shared" si="2"/>
        <v>1303.9425513584474</v>
      </c>
      <c r="G33" s="53">
        <f>+GETPIVOTDATA("Sum of "&amp;T(Transactions!$M$19),Pivot!$A$3,"Customer","WFEC")</f>
        <v>65.523700616688956</v>
      </c>
      <c r="H33" s="53">
        <f>GETPIVOTDATA("Sum of "&amp;T(Transactions!$Q$19),Pivot!$A$3,"Customer",C33)</f>
        <v>0</v>
      </c>
      <c r="I33" s="69">
        <f t="shared" si="0"/>
        <v>1369.4662519751364</v>
      </c>
      <c r="J33" s="70"/>
      <c r="K33" s="71">
        <f t="shared" si="1"/>
        <v>1369.4662519751364</v>
      </c>
      <c r="L33" s="66"/>
    </row>
    <row r="34" spans="2:13" ht="23" x14ac:dyDescent="0.25">
      <c r="C34" s="75" t="s">
        <v>43</v>
      </c>
      <c r="D34" s="76">
        <f t="shared" ref="D34:J34" si="3">SUM(D21:D33)</f>
        <v>166792.1235345579</v>
      </c>
      <c r="E34" s="76">
        <f t="shared" si="3"/>
        <v>90779.773344859379</v>
      </c>
      <c r="F34" s="76">
        <f t="shared" si="3"/>
        <v>76012.35018969854</v>
      </c>
      <c r="G34" s="77">
        <f t="shared" si="3"/>
        <v>3819.6548397104807</v>
      </c>
      <c r="H34" s="77">
        <f t="shared" si="3"/>
        <v>0</v>
      </c>
      <c r="I34" s="78">
        <f t="shared" si="3"/>
        <v>79832.005029409018</v>
      </c>
      <c r="J34" s="79">
        <f t="shared" si="3"/>
        <v>0</v>
      </c>
      <c r="K34" s="80">
        <f t="shared" si="1"/>
        <v>79832.005029409018</v>
      </c>
    </row>
    <row r="35" spans="2:13" x14ac:dyDescent="0.25">
      <c r="C35" s="81" t="s">
        <v>21</v>
      </c>
      <c r="D35" s="68">
        <f>GETPIVOTDATA("Sum of "&amp;T(Transactions!$J$19),Pivot!$A$3,"Customer",C35)</f>
        <v>239683.36428374893</v>
      </c>
      <c r="E35" s="68">
        <f>GETPIVOTDATA("Sum of "&amp;T(Transactions!$K$19),Pivot!$A$3,"Customer",C35)</f>
        <v>130452.21214959794</v>
      </c>
      <c r="F35" s="68">
        <f t="shared" si="2"/>
        <v>109231.15213415099</v>
      </c>
      <c r="G35" s="53">
        <f>+GETPIVOTDATA("Sum of "&amp;T(Transactions!$M$19),Pivot!$A$3,"Customer","PSO")</f>
        <v>5488.9146021024571</v>
      </c>
      <c r="H35" s="53">
        <f>GETPIVOTDATA("Sum of "&amp;T(Transactions!$Q$19),Pivot!$A$3,"Customer",C35)</f>
        <v>0</v>
      </c>
      <c r="I35" s="69">
        <f>F35+G35-H35</f>
        <v>114720.06673625344</v>
      </c>
      <c r="J35" s="70"/>
      <c r="K35" s="71">
        <f t="shared" si="1"/>
        <v>114720.06673625344</v>
      </c>
    </row>
    <row r="36" spans="2:13" x14ac:dyDescent="0.25">
      <c r="C36" s="82" t="s">
        <v>22</v>
      </c>
      <c r="D36" s="68">
        <f>GETPIVOTDATA("Sum of "&amp;T(Transactions!$J$19),Pivot!$A$3,"Customer",C36)</f>
        <v>236682.8911517371</v>
      </c>
      <c r="E36" s="68">
        <f>GETPIVOTDATA("Sum of "&amp;T(Transactions!$K$19),Pivot!$A$3,"Customer",C36)</f>
        <v>128819.14779932037</v>
      </c>
      <c r="F36" s="68">
        <f>D36-E36</f>
        <v>107863.74335241673</v>
      </c>
      <c r="G36" s="53">
        <f>+GETPIVOTDATA("Sum of "&amp;T(Transactions!$M$19),Pivot!$A$3,"Customer","SWEPCO")</f>
        <v>5420.2016948185828</v>
      </c>
      <c r="H36" s="53">
        <f>GETPIVOTDATA("Sum of "&amp;T(Transactions!$Q$19),Pivot!$A$3,"Customer",C36)</f>
        <v>0</v>
      </c>
      <c r="I36" s="69">
        <f>F36+G36-H36</f>
        <v>113283.94504723531</v>
      </c>
      <c r="J36" s="70"/>
      <c r="K36" s="71">
        <f t="shared" si="1"/>
        <v>113283.94504723531</v>
      </c>
    </row>
    <row r="37" spans="2:13" x14ac:dyDescent="0.25">
      <c r="C37" s="83" t="s">
        <v>82</v>
      </c>
      <c r="D37" s="68">
        <f>GETPIVOTDATA("Sum of "&amp;T(Transactions!$J$19),Pivot!$A$3,"Customer",C37)</f>
        <v>10223.131029956014</v>
      </c>
      <c r="E37" s="68">
        <f>GETPIVOTDATA("Sum of "&amp;T(Transactions!$K$19),Pivot!$A$3,"Customer",C37)</f>
        <v>5564.1327546376679</v>
      </c>
      <c r="F37" s="68">
        <f>D37-E37</f>
        <v>4658.9982753183458</v>
      </c>
      <c r="G37" s="53">
        <f>+GETPIVOTDATA("Sum of "&amp;T(Transactions!$M$19),Pivot!$A$3,"Customer","SWEPCO-Valley")</f>
        <v>234.11676215918729</v>
      </c>
      <c r="H37" s="53">
        <f>GETPIVOTDATA("Sum of "&amp;T(Transactions!$Q$19),Pivot!$A$3,"Customer",C37)</f>
        <v>0</v>
      </c>
      <c r="I37" s="69">
        <f>F37+G37-H37</f>
        <v>4893.1150374775334</v>
      </c>
      <c r="J37" s="70"/>
      <c r="K37" s="71">
        <f t="shared" si="1"/>
        <v>4893.1150374775334</v>
      </c>
    </row>
    <row r="38" spans="2:13" ht="23" x14ac:dyDescent="0.25">
      <c r="C38" s="84" t="s">
        <v>52</v>
      </c>
      <c r="D38" s="85">
        <f t="shared" ref="D38:I38" si="4">SUM(D35:D37)</f>
        <v>486589.38646544202</v>
      </c>
      <c r="E38" s="85">
        <f t="shared" si="4"/>
        <v>264835.49270355597</v>
      </c>
      <c r="F38" s="85">
        <f t="shared" si="4"/>
        <v>221753.89376188608</v>
      </c>
      <c r="G38" s="86">
        <f t="shared" si="4"/>
        <v>11143.233059080227</v>
      </c>
      <c r="H38" s="86">
        <f t="shared" si="4"/>
        <v>0</v>
      </c>
      <c r="I38" s="87">
        <f t="shared" si="4"/>
        <v>232897.12682096628</v>
      </c>
      <c r="J38" s="88">
        <f>SUM(J35:J37)</f>
        <v>0</v>
      </c>
      <c r="K38" s="89">
        <f t="shared" si="1"/>
        <v>232897.12682096628</v>
      </c>
    </row>
    <row r="39" spans="2:13" ht="23.25" customHeight="1" thickBot="1" x14ac:dyDescent="0.3">
      <c r="C39" s="90" t="s">
        <v>44</v>
      </c>
      <c r="D39" s="91">
        <f t="shared" ref="D39:I39" si="5">SUM(D34,D38)</f>
        <v>653381.50999999989</v>
      </c>
      <c r="E39" s="92">
        <f t="shared" si="5"/>
        <v>355615.26604841533</v>
      </c>
      <c r="F39" s="91">
        <f t="shared" si="5"/>
        <v>297766.24395158462</v>
      </c>
      <c r="G39" s="92">
        <f t="shared" si="5"/>
        <v>14962.887898790708</v>
      </c>
      <c r="H39" s="92">
        <f t="shared" si="5"/>
        <v>0</v>
      </c>
      <c r="I39" s="93">
        <f t="shared" si="5"/>
        <v>312729.13185037533</v>
      </c>
      <c r="J39" s="94">
        <f>SUM(J34,J38)</f>
        <v>0</v>
      </c>
      <c r="K39" s="95">
        <f t="shared" si="1"/>
        <v>312729.13185037533</v>
      </c>
      <c r="M39" s="96"/>
    </row>
    <row r="40" spans="2:13" x14ac:dyDescent="0.25">
      <c r="E40" s="52"/>
      <c r="F40" s="52"/>
      <c r="G40" s="52"/>
      <c r="H40" s="52"/>
    </row>
    <row r="41" spans="2:13" x14ac:dyDescent="0.25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5">
      <c r="C42" s="3"/>
      <c r="K42" s="97"/>
    </row>
    <row r="43" spans="2:13" x14ac:dyDescent="0.25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5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6"/>
  <sheetViews>
    <sheetView zoomScale="85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H14" sqref="H14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0.36328125" style="1" customWidth="1"/>
    <col min="16" max="16384" width="8.7265625" style="1"/>
  </cols>
  <sheetData>
    <row r="3" spans="1:15" x14ac:dyDescent="0.25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5">
      <c r="A4" s="100" t="s">
        <v>0</v>
      </c>
      <c r="B4" s="100" t="s">
        <v>24</v>
      </c>
      <c r="C4" s="102">
        <v>43466</v>
      </c>
      <c r="D4" s="103">
        <v>43497</v>
      </c>
      <c r="E4" s="103">
        <v>43525</v>
      </c>
      <c r="F4" s="103">
        <v>43556</v>
      </c>
      <c r="G4" s="103">
        <v>43586</v>
      </c>
      <c r="H4" s="103">
        <v>43617</v>
      </c>
      <c r="I4" s="103">
        <v>43647</v>
      </c>
      <c r="J4" s="103">
        <v>43678</v>
      </c>
      <c r="K4" s="103">
        <v>43709</v>
      </c>
      <c r="L4" s="103">
        <v>43739</v>
      </c>
      <c r="M4" s="103">
        <v>43770</v>
      </c>
      <c r="N4" s="103">
        <v>43800</v>
      </c>
      <c r="O4" s="104" t="s">
        <v>18</v>
      </c>
    </row>
    <row r="5" spans="1:15" x14ac:dyDescent="0.25">
      <c r="A5" s="98" t="s">
        <v>14</v>
      </c>
      <c r="B5" s="98" t="s">
        <v>71</v>
      </c>
      <c r="C5" s="105">
        <v>4842.5357510317963</v>
      </c>
      <c r="D5" s="106">
        <v>5209.6822524172139</v>
      </c>
      <c r="E5" s="106">
        <v>5127.3907952101381</v>
      </c>
      <c r="F5" s="106">
        <v>3089.0947013117866</v>
      </c>
      <c r="G5" s="106">
        <v>4412.088128717859</v>
      </c>
      <c r="H5" s="106">
        <v>5095.7402347458774</v>
      </c>
      <c r="I5" s="106">
        <v>5317.2941579956987</v>
      </c>
      <c r="J5" s="106">
        <v>5633.7997626382994</v>
      </c>
      <c r="K5" s="106">
        <v>5178.0316919529541</v>
      </c>
      <c r="L5" s="106">
        <v>4804.5550784746847</v>
      </c>
      <c r="M5" s="106">
        <v>4684.2829487104964</v>
      </c>
      <c r="N5" s="106">
        <v>4760.2442938247204</v>
      </c>
      <c r="O5" s="107">
        <v>58154.739797031536</v>
      </c>
    </row>
    <row r="6" spans="1:15" ht="13" x14ac:dyDescent="0.3">
      <c r="A6" s="241"/>
      <c r="B6" s="108" t="s">
        <v>25</v>
      </c>
      <c r="C6" s="245">
        <v>2206.8939198876378</v>
      </c>
      <c r="D6" s="246">
        <v>2374.2139817876164</v>
      </c>
      <c r="E6" s="246">
        <v>2336.7112092927941</v>
      </c>
      <c r="F6" s="246">
        <v>1407.7963828825718</v>
      </c>
      <c r="G6" s="246">
        <v>2010.7255714531816</v>
      </c>
      <c r="H6" s="246">
        <v>2322.2870660255539</v>
      </c>
      <c r="I6" s="246">
        <v>2423.2560688962308</v>
      </c>
      <c r="J6" s="246">
        <v>2567.497501568625</v>
      </c>
      <c r="K6" s="246">
        <v>2359.7898385203771</v>
      </c>
      <c r="L6" s="246">
        <v>2189.5849479669509</v>
      </c>
      <c r="M6" s="246">
        <v>2134.7732035514414</v>
      </c>
      <c r="N6" s="246">
        <v>2169.3911473928156</v>
      </c>
      <c r="O6" s="247">
        <v>26502.920839225801</v>
      </c>
    </row>
    <row r="7" spans="1:15" ht="13" x14ac:dyDescent="0.3">
      <c r="A7" s="241"/>
      <c r="B7" s="108" t="s">
        <v>26</v>
      </c>
      <c r="C7" s="245">
        <v>110.89741365435188</v>
      </c>
      <c r="D7" s="246">
        <v>119.30532214056419</v>
      </c>
      <c r="E7" s="246">
        <v>117.42079092813728</v>
      </c>
      <c r="F7" s="246">
        <v>70.742402435717267</v>
      </c>
      <c r="G7" s="246">
        <v>101.03986577396505</v>
      </c>
      <c r="H7" s="246">
        <v>116.69597123105001</v>
      </c>
      <c r="I7" s="246">
        <v>121.76970911066087</v>
      </c>
      <c r="J7" s="246">
        <v>129.01790608153354</v>
      </c>
      <c r="K7" s="246">
        <v>118.58050244347692</v>
      </c>
      <c r="L7" s="246">
        <v>110.02763001784714</v>
      </c>
      <c r="M7" s="246">
        <v>107.27331516891554</v>
      </c>
      <c r="N7" s="246">
        <v>109.01288244192497</v>
      </c>
      <c r="O7" s="247">
        <v>1331.7837114281447</v>
      </c>
    </row>
    <row r="8" spans="1:15" ht="13" x14ac:dyDescent="0.3">
      <c r="A8" s="241"/>
      <c r="B8" s="108" t="s">
        <v>27</v>
      </c>
      <c r="C8" s="245">
        <v>2317.7913335419898</v>
      </c>
      <c r="D8" s="246">
        <v>2493.5193039281808</v>
      </c>
      <c r="E8" s="246">
        <v>2454.1320002209313</v>
      </c>
      <c r="F8" s="246">
        <v>1478.538785318289</v>
      </c>
      <c r="G8" s="246">
        <v>2111.7654372271468</v>
      </c>
      <c r="H8" s="246">
        <v>2438.9830372566039</v>
      </c>
      <c r="I8" s="246">
        <v>2545.0257780068914</v>
      </c>
      <c r="J8" s="246">
        <v>2696.5154076501585</v>
      </c>
      <c r="K8" s="246">
        <v>2478.3703409638538</v>
      </c>
      <c r="L8" s="246">
        <v>2299.612577984798</v>
      </c>
      <c r="M8" s="246">
        <v>2242.0465187203567</v>
      </c>
      <c r="N8" s="246">
        <v>2278.4040298347404</v>
      </c>
      <c r="O8" s="247">
        <v>27834.704550653936</v>
      </c>
    </row>
    <row r="9" spans="1:15" x14ac:dyDescent="0.25">
      <c r="A9" s="241"/>
      <c r="B9" s="108" t="s">
        <v>50</v>
      </c>
      <c r="C9" s="109">
        <v>2635.6418311441585</v>
      </c>
      <c r="D9" s="97">
        <v>2835.4682706295976</v>
      </c>
      <c r="E9" s="97">
        <v>2790.679585917344</v>
      </c>
      <c r="F9" s="97">
        <v>1681.2983184292148</v>
      </c>
      <c r="G9" s="97">
        <v>2401.3625572646774</v>
      </c>
      <c r="H9" s="97">
        <v>2773.4531687203234</v>
      </c>
      <c r="I9" s="97">
        <v>2894.0380890994679</v>
      </c>
      <c r="J9" s="97">
        <v>3066.3022610696744</v>
      </c>
      <c r="K9" s="97">
        <v>2818.241853432577</v>
      </c>
      <c r="L9" s="97">
        <v>2614.9701305077338</v>
      </c>
      <c r="M9" s="97">
        <v>2549.509745159055</v>
      </c>
      <c r="N9" s="97">
        <v>2590.8531464319049</v>
      </c>
      <c r="O9" s="110">
        <v>31651.818957805732</v>
      </c>
    </row>
    <row r="10" spans="1:15" x14ac:dyDescent="0.25">
      <c r="A10" s="241"/>
      <c r="B10" s="108" t="s">
        <v>90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5">
      <c r="A11" s="241"/>
      <c r="B11" s="108" t="s">
        <v>92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5">
      <c r="A12" s="98" t="s">
        <v>17</v>
      </c>
      <c r="B12" s="98" t="s">
        <v>71</v>
      </c>
      <c r="C12" s="105">
        <v>658.33165765661022</v>
      </c>
      <c r="D12" s="106">
        <v>652.00154556375821</v>
      </c>
      <c r="E12" s="106">
        <v>664.66176974946234</v>
      </c>
      <c r="F12" s="106">
        <v>658.33165765661022</v>
      </c>
      <c r="G12" s="106">
        <v>670.99188184231434</v>
      </c>
      <c r="H12" s="106">
        <v>633.0112092852022</v>
      </c>
      <c r="I12" s="106">
        <v>740.62311486368651</v>
      </c>
      <c r="J12" s="106">
        <v>734.29300277083451</v>
      </c>
      <c r="K12" s="106">
        <v>715.30266649227849</v>
      </c>
      <c r="L12" s="106">
        <v>715.30266649227849</v>
      </c>
      <c r="M12" s="106">
        <v>658.33165765661022</v>
      </c>
      <c r="N12" s="106">
        <v>259.53459580693288</v>
      </c>
      <c r="O12" s="107">
        <v>7760.7174258365776</v>
      </c>
    </row>
    <row r="13" spans="1:15" ht="13" x14ac:dyDescent="0.3">
      <c r="A13" s="241"/>
      <c r="B13" s="108" t="s">
        <v>25</v>
      </c>
      <c r="C13" s="245">
        <v>300.02217995858086</v>
      </c>
      <c r="D13" s="246">
        <v>297.137351305133</v>
      </c>
      <c r="E13" s="246">
        <v>302.90700861202885</v>
      </c>
      <c r="F13" s="246">
        <v>300.02217995858086</v>
      </c>
      <c r="G13" s="246">
        <v>305.79183726547672</v>
      </c>
      <c r="H13" s="246">
        <v>288.48286534478933</v>
      </c>
      <c r="I13" s="246">
        <v>337.5249524534035</v>
      </c>
      <c r="J13" s="246">
        <v>334.64012379995557</v>
      </c>
      <c r="K13" s="246">
        <v>325.98563783961197</v>
      </c>
      <c r="L13" s="246">
        <v>325.98563783961197</v>
      </c>
      <c r="M13" s="246">
        <v>300.02217995858086</v>
      </c>
      <c r="N13" s="246">
        <v>118.27797479136362</v>
      </c>
      <c r="O13" s="247">
        <v>3536.799929127118</v>
      </c>
    </row>
    <row r="14" spans="1:15" ht="13" x14ac:dyDescent="0.3">
      <c r="A14" s="241"/>
      <c r="B14" s="108" t="s">
        <v>26</v>
      </c>
      <c r="C14" s="245">
        <v>15.076249699415158</v>
      </c>
      <c r="D14" s="246">
        <v>14.931285759997705</v>
      </c>
      <c r="E14" s="246">
        <v>15.221213638832609</v>
      </c>
      <c r="F14" s="246">
        <v>15.076249699415158</v>
      </c>
      <c r="G14" s="246">
        <v>15.366177578250063</v>
      </c>
      <c r="H14" s="246">
        <v>14.496393941745342</v>
      </c>
      <c r="I14" s="246">
        <v>16.960780911842051</v>
      </c>
      <c r="J14" s="246">
        <v>16.815816972424599</v>
      </c>
      <c r="K14" s="246">
        <v>16.380925154172235</v>
      </c>
      <c r="L14" s="246">
        <v>16.380925154172235</v>
      </c>
      <c r="M14" s="246">
        <v>15.076249699415158</v>
      </c>
      <c r="N14" s="246">
        <v>5.9435215161155908</v>
      </c>
      <c r="O14" s="247">
        <v>177.72578972579794</v>
      </c>
    </row>
    <row r="15" spans="1:15" ht="13" x14ac:dyDescent="0.3">
      <c r="A15" s="241"/>
      <c r="B15" s="108" t="s">
        <v>27</v>
      </c>
      <c r="C15" s="245">
        <v>315.09842965799601</v>
      </c>
      <c r="D15" s="246">
        <v>312.0686370651307</v>
      </c>
      <c r="E15" s="246">
        <v>318.12822225086143</v>
      </c>
      <c r="F15" s="246">
        <v>315.09842965799601</v>
      </c>
      <c r="G15" s="246">
        <v>321.15801484372679</v>
      </c>
      <c r="H15" s="246">
        <v>302.97925928653467</v>
      </c>
      <c r="I15" s="246">
        <v>354.48573336524555</v>
      </c>
      <c r="J15" s="246">
        <v>351.45594077238019</v>
      </c>
      <c r="K15" s="246">
        <v>342.36656299378421</v>
      </c>
      <c r="L15" s="246">
        <v>342.36656299378421</v>
      </c>
      <c r="M15" s="246">
        <v>315.09842965799601</v>
      </c>
      <c r="N15" s="246">
        <v>124.22149630747921</v>
      </c>
      <c r="O15" s="247">
        <v>3714.5257188529145</v>
      </c>
    </row>
    <row r="16" spans="1:15" x14ac:dyDescent="0.25">
      <c r="A16" s="241"/>
      <c r="B16" s="108" t="s">
        <v>50</v>
      </c>
      <c r="C16" s="109">
        <v>358.30947769802935</v>
      </c>
      <c r="D16" s="97">
        <v>354.86419425862522</v>
      </c>
      <c r="E16" s="97">
        <v>361.75476113743349</v>
      </c>
      <c r="F16" s="97">
        <v>358.30947769802935</v>
      </c>
      <c r="G16" s="97">
        <v>365.20004457683763</v>
      </c>
      <c r="H16" s="97">
        <v>344.52834394041287</v>
      </c>
      <c r="I16" s="97">
        <v>403.09816241028301</v>
      </c>
      <c r="J16" s="97">
        <v>399.65287897087893</v>
      </c>
      <c r="K16" s="97">
        <v>389.31702865266652</v>
      </c>
      <c r="L16" s="97">
        <v>389.31702865266652</v>
      </c>
      <c r="M16" s="97">
        <v>358.30947769802935</v>
      </c>
      <c r="N16" s="97">
        <v>141.25662101556927</v>
      </c>
      <c r="O16" s="110">
        <v>4223.9174967094614</v>
      </c>
    </row>
    <row r="17" spans="1:15" x14ac:dyDescent="0.25">
      <c r="A17" s="241"/>
      <c r="B17" s="108" t="s">
        <v>90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5">
      <c r="A18" s="241"/>
      <c r="B18" s="108" t="s">
        <v>92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5">
      <c r="A19" s="98" t="s">
        <v>13</v>
      </c>
      <c r="B19" s="98" t="s">
        <v>71</v>
      </c>
      <c r="C19" s="105">
        <v>6254.1507477377972</v>
      </c>
      <c r="D19" s="106">
        <v>6019.9366003022724</v>
      </c>
      <c r="E19" s="106">
        <v>6678.2682579588827</v>
      </c>
      <c r="F19" s="106">
        <v>3253.6776157259392</v>
      </c>
      <c r="G19" s="106">
        <v>4437.4085770892671</v>
      </c>
      <c r="H19" s="106">
        <v>5203.3521403243622</v>
      </c>
      <c r="I19" s="106">
        <v>5494.5372965955548</v>
      </c>
      <c r="J19" s="106">
        <v>5905.9945826309367</v>
      </c>
      <c r="K19" s="106">
        <v>5633.7997626382994</v>
      </c>
      <c r="L19" s="106">
        <v>5051.4294500959131</v>
      </c>
      <c r="M19" s="106">
        <v>6646.6176974946229</v>
      </c>
      <c r="N19" s="106">
        <v>6304.7916444806133</v>
      </c>
      <c r="O19" s="107">
        <v>66883.964373074457</v>
      </c>
    </row>
    <row r="20" spans="1:15" ht="13" x14ac:dyDescent="0.3">
      <c r="A20" s="241"/>
      <c r="B20" s="108" t="s">
        <v>25</v>
      </c>
      <c r="C20" s="245">
        <v>2850.2107096065183</v>
      </c>
      <c r="D20" s="246">
        <v>2743.4720494289463</v>
      </c>
      <c r="E20" s="246">
        <v>3043.494229387527</v>
      </c>
      <c r="F20" s="246">
        <v>1482.8019278722172</v>
      </c>
      <c r="G20" s="246">
        <v>2022.2648860669728</v>
      </c>
      <c r="H20" s="246">
        <v>2371.3291531341683</v>
      </c>
      <c r="I20" s="246">
        <v>2504.0312711927713</v>
      </c>
      <c r="J20" s="246">
        <v>2691.5451336668848</v>
      </c>
      <c r="K20" s="246">
        <v>2567.497501568625</v>
      </c>
      <c r="L20" s="246">
        <v>2302.0932654514186</v>
      </c>
      <c r="M20" s="246">
        <v>3029.0700861202881</v>
      </c>
      <c r="N20" s="246">
        <v>2873.2893388341013</v>
      </c>
      <c r="O20" s="247">
        <v>30481.099552330437</v>
      </c>
    </row>
    <row r="21" spans="1:15" ht="13" x14ac:dyDescent="0.3">
      <c r="A21" s="241"/>
      <c r="B21" s="108" t="s">
        <v>26</v>
      </c>
      <c r="C21" s="245">
        <v>143.224372144444</v>
      </c>
      <c r="D21" s="246">
        <v>137.86070638599821</v>
      </c>
      <c r="E21" s="246">
        <v>152.93695608541339</v>
      </c>
      <c r="F21" s="246">
        <v>74.511464860571067</v>
      </c>
      <c r="G21" s="246">
        <v>101.61972153163485</v>
      </c>
      <c r="H21" s="246">
        <v>119.16035820114671</v>
      </c>
      <c r="I21" s="246">
        <v>125.82869941434959</v>
      </c>
      <c r="J21" s="246">
        <v>135.25135547648406</v>
      </c>
      <c r="K21" s="246">
        <v>129.01790608153354</v>
      </c>
      <c r="L21" s="246">
        <v>115.68122365512784</v>
      </c>
      <c r="M21" s="246">
        <v>152.21213638832609</v>
      </c>
      <c r="N21" s="246">
        <v>144.38408365978361</v>
      </c>
      <c r="O21" s="247">
        <v>1531.6889838848126</v>
      </c>
    </row>
    <row r="22" spans="1:15" ht="13" x14ac:dyDescent="0.3">
      <c r="A22" s="241"/>
      <c r="B22" s="108" t="s">
        <v>27</v>
      </c>
      <c r="C22" s="245">
        <v>2993.4350817509621</v>
      </c>
      <c r="D22" s="246">
        <v>2881.3327558149444</v>
      </c>
      <c r="E22" s="246">
        <v>3196.4311854729403</v>
      </c>
      <c r="F22" s="246">
        <v>1557.3133927327883</v>
      </c>
      <c r="G22" s="246">
        <v>2123.8846075986075</v>
      </c>
      <c r="H22" s="246">
        <v>2490.489511335315</v>
      </c>
      <c r="I22" s="246">
        <v>2629.8599706071209</v>
      </c>
      <c r="J22" s="246">
        <v>2826.7964891433689</v>
      </c>
      <c r="K22" s="246">
        <v>2696.5154076501585</v>
      </c>
      <c r="L22" s="246">
        <v>2417.7744891065463</v>
      </c>
      <c r="M22" s="246">
        <v>3181.2822225086143</v>
      </c>
      <c r="N22" s="246">
        <v>3017.673422493885</v>
      </c>
      <c r="O22" s="247">
        <v>32012.788536215252</v>
      </c>
    </row>
    <row r="23" spans="1:15" x14ac:dyDescent="0.25">
      <c r="A23" s="241"/>
      <c r="B23" s="108" t="s">
        <v>50</v>
      </c>
      <c r="C23" s="109">
        <v>3403.9400381312789</v>
      </c>
      <c r="D23" s="97">
        <v>3276.4645508733261</v>
      </c>
      <c r="E23" s="97">
        <v>3634.7740285713558</v>
      </c>
      <c r="F23" s="97">
        <v>1770.875687853722</v>
      </c>
      <c r="G23" s="97">
        <v>2415.1436910222942</v>
      </c>
      <c r="H23" s="97">
        <v>2832.0229871901938</v>
      </c>
      <c r="I23" s="97">
        <v>2990.5060254027835</v>
      </c>
      <c r="J23" s="97">
        <v>3214.449448964052</v>
      </c>
      <c r="K23" s="97">
        <v>3066.3022610696744</v>
      </c>
      <c r="L23" s="97">
        <v>2749.3361846444946</v>
      </c>
      <c r="M23" s="97">
        <v>3617.5476113743348</v>
      </c>
      <c r="N23" s="97">
        <v>3431.502305646512</v>
      </c>
      <c r="O23" s="110">
        <v>36402.864820744027</v>
      </c>
    </row>
    <row r="24" spans="1:15" x14ac:dyDescent="0.25">
      <c r="A24" s="241"/>
      <c r="B24" s="108" t="s">
        <v>90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5">
      <c r="A25" s="241"/>
      <c r="B25" s="108" t="s">
        <v>92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5">
      <c r="A26" s="98" t="s">
        <v>15</v>
      </c>
      <c r="B26" s="98" t="s">
        <v>71</v>
      </c>
      <c r="C26" s="105">
        <v>44.310784649964155</v>
      </c>
      <c r="D26" s="106">
        <v>50.640896742816174</v>
      </c>
      <c r="E26" s="106">
        <v>37.980672557112129</v>
      </c>
      <c r="F26" s="106">
        <v>31.65056046426011</v>
      </c>
      <c r="G26" s="106">
        <v>25.320448371408087</v>
      </c>
      <c r="H26" s="106">
        <v>44.310784649964155</v>
      </c>
      <c r="I26" s="106">
        <v>107.61190557848437</v>
      </c>
      <c r="J26" s="106">
        <v>107.61190557848437</v>
      </c>
      <c r="K26" s="106">
        <v>82.291457207076277</v>
      </c>
      <c r="L26" s="106">
        <v>31.65056046426011</v>
      </c>
      <c r="M26" s="106">
        <v>44.310784649964155</v>
      </c>
      <c r="N26" s="106">
        <v>44.310784649964155</v>
      </c>
      <c r="O26" s="107">
        <v>652.00154556375821</v>
      </c>
    </row>
    <row r="27" spans="1:15" ht="13" x14ac:dyDescent="0.3">
      <c r="A27" s="241"/>
      <c r="B27" s="108" t="s">
        <v>25</v>
      </c>
      <c r="C27" s="245">
        <v>20.193800574135256</v>
      </c>
      <c r="D27" s="246">
        <v>23.078629227583146</v>
      </c>
      <c r="E27" s="246">
        <v>17.308971920687359</v>
      </c>
      <c r="F27" s="246">
        <v>14.424143267239469</v>
      </c>
      <c r="G27" s="246">
        <v>11.539314613791573</v>
      </c>
      <c r="H27" s="246">
        <v>20.193800574135256</v>
      </c>
      <c r="I27" s="246">
        <v>49.042087108614183</v>
      </c>
      <c r="J27" s="246">
        <v>49.042087108614183</v>
      </c>
      <c r="K27" s="246">
        <v>37.502772494822608</v>
      </c>
      <c r="L27" s="246">
        <v>14.424143267239469</v>
      </c>
      <c r="M27" s="246">
        <v>20.193800574135256</v>
      </c>
      <c r="N27" s="246">
        <v>20.193800574135256</v>
      </c>
      <c r="O27" s="247">
        <v>297.137351305133</v>
      </c>
    </row>
    <row r="28" spans="1:15" ht="13" x14ac:dyDescent="0.3">
      <c r="A28" s="241"/>
      <c r="B28" s="108" t="s">
        <v>26</v>
      </c>
      <c r="C28" s="245">
        <v>1.014747575922174</v>
      </c>
      <c r="D28" s="246">
        <v>1.1597115153396276</v>
      </c>
      <c r="E28" s="246">
        <v>0.86978363650472057</v>
      </c>
      <c r="F28" s="246">
        <v>0.72481969708726712</v>
      </c>
      <c r="G28" s="246">
        <v>0.57985575766981379</v>
      </c>
      <c r="H28" s="246">
        <v>1.014747575922174</v>
      </c>
      <c r="I28" s="246">
        <v>2.4643869700967085</v>
      </c>
      <c r="J28" s="246">
        <v>2.4643869700967085</v>
      </c>
      <c r="K28" s="246">
        <v>1.8845312124268947</v>
      </c>
      <c r="L28" s="246">
        <v>0.72481969708726712</v>
      </c>
      <c r="M28" s="246">
        <v>1.014747575922174</v>
      </c>
      <c r="N28" s="246">
        <v>1.014747575922174</v>
      </c>
      <c r="O28" s="247">
        <v>14.931285759997703</v>
      </c>
    </row>
    <row r="29" spans="1:15" ht="13" x14ac:dyDescent="0.3">
      <c r="A29" s="241"/>
      <c r="B29" s="108" t="s">
        <v>27</v>
      </c>
      <c r="C29" s="245">
        <v>21.208548150057432</v>
      </c>
      <c r="D29" s="246">
        <v>24.238340742922773</v>
      </c>
      <c r="E29" s="246">
        <v>18.17875555719208</v>
      </c>
      <c r="F29" s="246">
        <v>15.148962964326735</v>
      </c>
      <c r="G29" s="246">
        <v>12.119170371461387</v>
      </c>
      <c r="H29" s="246">
        <v>21.208548150057432</v>
      </c>
      <c r="I29" s="246">
        <v>51.506474078710895</v>
      </c>
      <c r="J29" s="246">
        <v>51.506474078710895</v>
      </c>
      <c r="K29" s="246">
        <v>39.387303707249501</v>
      </c>
      <c r="L29" s="246">
        <v>15.148962964326735</v>
      </c>
      <c r="M29" s="246">
        <v>21.208548150057432</v>
      </c>
      <c r="N29" s="246">
        <v>21.208548150057432</v>
      </c>
      <c r="O29" s="247">
        <v>312.0686370651307</v>
      </c>
    </row>
    <row r="30" spans="1:15" x14ac:dyDescent="0.25">
      <c r="A30" s="241"/>
      <c r="B30" s="108" t="s">
        <v>50</v>
      </c>
      <c r="C30" s="109">
        <v>24.116984075828899</v>
      </c>
      <c r="D30" s="97">
        <v>27.562267515233028</v>
      </c>
      <c r="E30" s="97">
        <v>20.67170063642477</v>
      </c>
      <c r="F30" s="97">
        <v>17.226417197020641</v>
      </c>
      <c r="G30" s="97">
        <v>13.781133757616514</v>
      </c>
      <c r="H30" s="97">
        <v>24.116984075828899</v>
      </c>
      <c r="I30" s="97">
        <v>58.569818469870185</v>
      </c>
      <c r="J30" s="97">
        <v>58.569818469870185</v>
      </c>
      <c r="K30" s="97">
        <v>44.788684712253669</v>
      </c>
      <c r="L30" s="97">
        <v>17.226417197020641</v>
      </c>
      <c r="M30" s="97">
        <v>24.116984075828899</v>
      </c>
      <c r="N30" s="97">
        <v>24.116984075828899</v>
      </c>
      <c r="O30" s="110">
        <v>354.86419425862522</v>
      </c>
    </row>
    <row r="31" spans="1:15" x14ac:dyDescent="0.25">
      <c r="A31" s="241"/>
      <c r="B31" s="108" t="s">
        <v>90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5">
      <c r="A32" s="241"/>
      <c r="B32" s="108" t="s">
        <v>92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5">
      <c r="A33" s="98" t="s">
        <v>16</v>
      </c>
      <c r="B33" s="98" t="s">
        <v>71</v>
      </c>
      <c r="C33" s="105">
        <v>6.3301120928520218</v>
      </c>
      <c r="D33" s="106">
        <v>25.320448371408087</v>
      </c>
      <c r="E33" s="106">
        <v>6.3301120928520218</v>
      </c>
      <c r="F33" s="106">
        <v>18.990336278556065</v>
      </c>
      <c r="G33" s="106">
        <v>18.990336278556065</v>
      </c>
      <c r="H33" s="106">
        <v>12.660224185704044</v>
      </c>
      <c r="I33" s="106">
        <v>37.980672557112129</v>
      </c>
      <c r="J33" s="106">
        <v>25.320448371408087</v>
      </c>
      <c r="K33" s="106">
        <v>18.990336278556065</v>
      </c>
      <c r="L33" s="106">
        <v>25.320448371408087</v>
      </c>
      <c r="M33" s="106">
        <v>25.320448371408087</v>
      </c>
      <c r="N33" s="106">
        <v>25.320448371408087</v>
      </c>
      <c r="O33" s="107">
        <v>246.87437162122882</v>
      </c>
    </row>
    <row r="34" spans="1:15" ht="13" x14ac:dyDescent="0.3">
      <c r="A34" s="241"/>
      <c r="B34" s="108" t="s">
        <v>25</v>
      </c>
      <c r="C34" s="245">
        <v>2.8848286534478933</v>
      </c>
      <c r="D34" s="246">
        <v>11.539314613791573</v>
      </c>
      <c r="E34" s="246">
        <v>2.8848286534478933</v>
      </c>
      <c r="F34" s="246">
        <v>8.6544859603436795</v>
      </c>
      <c r="G34" s="246">
        <v>8.6544859603436795</v>
      </c>
      <c r="H34" s="246">
        <v>5.7696573068957866</v>
      </c>
      <c r="I34" s="246">
        <v>17.308971920687359</v>
      </c>
      <c r="J34" s="246">
        <v>11.539314613791573</v>
      </c>
      <c r="K34" s="246">
        <v>8.6544859603436795</v>
      </c>
      <c r="L34" s="246">
        <v>11.539314613791573</v>
      </c>
      <c r="M34" s="246">
        <v>11.539314613791573</v>
      </c>
      <c r="N34" s="246">
        <v>11.539314613791573</v>
      </c>
      <c r="O34" s="247">
        <v>112.50831748446784</v>
      </c>
    </row>
    <row r="35" spans="1:15" ht="13" x14ac:dyDescent="0.3">
      <c r="A35" s="241"/>
      <c r="B35" s="108" t="s">
        <v>26</v>
      </c>
      <c r="C35" s="245">
        <v>0.14496393941745345</v>
      </c>
      <c r="D35" s="246">
        <v>0.57985575766981379</v>
      </c>
      <c r="E35" s="246">
        <v>0.14496393941745345</v>
      </c>
      <c r="F35" s="246">
        <v>0.43489181825236028</v>
      </c>
      <c r="G35" s="246">
        <v>0.43489181825236028</v>
      </c>
      <c r="H35" s="246">
        <v>0.28992787883490689</v>
      </c>
      <c r="I35" s="246">
        <v>0.86978363650472057</v>
      </c>
      <c r="J35" s="246">
        <v>0.57985575766981379</v>
      </c>
      <c r="K35" s="246">
        <v>0.43489181825236028</v>
      </c>
      <c r="L35" s="246">
        <v>0.57985575766981379</v>
      </c>
      <c r="M35" s="246">
        <v>0.57985575766981379</v>
      </c>
      <c r="N35" s="246">
        <v>0.57985575766981379</v>
      </c>
      <c r="O35" s="247">
        <v>5.6535936372806841</v>
      </c>
    </row>
    <row r="36" spans="1:15" ht="13" x14ac:dyDescent="0.3">
      <c r="A36" s="241"/>
      <c r="B36" s="108" t="s">
        <v>27</v>
      </c>
      <c r="C36" s="245">
        <v>3.0297925928653466</v>
      </c>
      <c r="D36" s="246">
        <v>12.119170371461387</v>
      </c>
      <c r="E36" s="246">
        <v>3.0297925928653466</v>
      </c>
      <c r="F36" s="246">
        <v>9.0893777785960399</v>
      </c>
      <c r="G36" s="246">
        <v>9.0893777785960399</v>
      </c>
      <c r="H36" s="246">
        <v>6.0595851857306933</v>
      </c>
      <c r="I36" s="246">
        <v>18.17875555719208</v>
      </c>
      <c r="J36" s="246">
        <v>12.119170371461387</v>
      </c>
      <c r="K36" s="246">
        <v>9.0893777785960399</v>
      </c>
      <c r="L36" s="246">
        <v>12.119170371461387</v>
      </c>
      <c r="M36" s="246">
        <v>12.119170371461387</v>
      </c>
      <c r="N36" s="246">
        <v>12.119170371461387</v>
      </c>
      <c r="O36" s="247">
        <v>118.16191112174852</v>
      </c>
    </row>
    <row r="37" spans="1:15" x14ac:dyDescent="0.25">
      <c r="A37" s="241"/>
      <c r="B37" s="108" t="s">
        <v>50</v>
      </c>
      <c r="C37" s="109">
        <v>3.4452834394041285</v>
      </c>
      <c r="D37" s="97">
        <v>13.781133757616514</v>
      </c>
      <c r="E37" s="97">
        <v>3.4452834394041285</v>
      </c>
      <c r="F37" s="97">
        <v>10.335850318212385</v>
      </c>
      <c r="G37" s="97">
        <v>10.335850318212385</v>
      </c>
      <c r="H37" s="97">
        <v>6.890566878808257</v>
      </c>
      <c r="I37" s="97">
        <v>20.67170063642477</v>
      </c>
      <c r="J37" s="97">
        <v>13.781133757616514</v>
      </c>
      <c r="K37" s="97">
        <v>10.335850318212385</v>
      </c>
      <c r="L37" s="97">
        <v>13.781133757616514</v>
      </c>
      <c r="M37" s="97">
        <v>13.781133757616514</v>
      </c>
      <c r="N37" s="97">
        <v>13.781133757616514</v>
      </c>
      <c r="O37" s="110">
        <v>134.36605413676099</v>
      </c>
    </row>
    <row r="38" spans="1:15" x14ac:dyDescent="0.25">
      <c r="A38" s="241"/>
      <c r="B38" s="108" t="s">
        <v>90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5">
      <c r="A39" s="241"/>
      <c r="B39" s="108" t="s">
        <v>92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5">
      <c r="A40" s="98" t="s">
        <v>19</v>
      </c>
      <c r="B40" s="98" t="s">
        <v>71</v>
      </c>
      <c r="C40" s="105">
        <v>272.19481999263695</v>
      </c>
      <c r="D40" s="106">
        <v>234.21414743552481</v>
      </c>
      <c r="E40" s="106">
        <v>253.20448371408088</v>
      </c>
      <c r="F40" s="106">
        <v>227.88403534267277</v>
      </c>
      <c r="G40" s="106">
        <v>259.53459580693288</v>
      </c>
      <c r="H40" s="106">
        <v>253.20448371408088</v>
      </c>
      <c r="I40" s="106">
        <v>291.18515627119302</v>
      </c>
      <c r="J40" s="106">
        <v>297.51526836404503</v>
      </c>
      <c r="K40" s="106">
        <v>284.85504417834096</v>
      </c>
      <c r="L40" s="106">
        <v>265.86470789978489</v>
      </c>
      <c r="M40" s="106">
        <v>272.19481999263695</v>
      </c>
      <c r="N40" s="106">
        <v>240.54425952837684</v>
      </c>
      <c r="O40" s="107">
        <v>3152.3958222403066</v>
      </c>
    </row>
    <row r="41" spans="1:15" ht="13" x14ac:dyDescent="0.3">
      <c r="A41" s="241"/>
      <c r="B41" s="108" t="s">
        <v>25</v>
      </c>
      <c r="C41" s="245">
        <v>124.04763209825941</v>
      </c>
      <c r="D41" s="246">
        <v>106.73866017757206</v>
      </c>
      <c r="E41" s="246">
        <v>115.39314613791575</v>
      </c>
      <c r="F41" s="246">
        <v>103.85383152412415</v>
      </c>
      <c r="G41" s="246">
        <v>118.27797479136362</v>
      </c>
      <c r="H41" s="246">
        <v>115.39314613791575</v>
      </c>
      <c r="I41" s="246">
        <v>132.70211805860311</v>
      </c>
      <c r="J41" s="246">
        <v>135.58694671205097</v>
      </c>
      <c r="K41" s="246">
        <v>129.81728940515518</v>
      </c>
      <c r="L41" s="246">
        <v>121.16280344481149</v>
      </c>
      <c r="M41" s="246">
        <v>124.04763209825941</v>
      </c>
      <c r="N41" s="246">
        <v>109.62348883101996</v>
      </c>
      <c r="O41" s="247">
        <v>1436.6446694170509</v>
      </c>
    </row>
    <row r="42" spans="1:15" ht="13" x14ac:dyDescent="0.3">
      <c r="A42" s="241"/>
      <c r="B42" s="108" t="s">
        <v>26</v>
      </c>
      <c r="C42" s="245">
        <v>6.2334493949504974</v>
      </c>
      <c r="D42" s="246">
        <v>5.3636657584457774</v>
      </c>
      <c r="E42" s="246">
        <v>5.798557576698137</v>
      </c>
      <c r="F42" s="246">
        <v>5.2187018190283236</v>
      </c>
      <c r="G42" s="246">
        <v>5.9435215161155908</v>
      </c>
      <c r="H42" s="246">
        <v>5.798557576698137</v>
      </c>
      <c r="I42" s="246">
        <v>6.6683412132028579</v>
      </c>
      <c r="J42" s="246">
        <v>6.8133051526203108</v>
      </c>
      <c r="K42" s="246">
        <v>6.5233772737854041</v>
      </c>
      <c r="L42" s="246">
        <v>6.0884854555330437</v>
      </c>
      <c r="M42" s="246">
        <v>6.2334493949504974</v>
      </c>
      <c r="N42" s="246">
        <v>5.5086296978632303</v>
      </c>
      <c r="O42" s="247">
        <v>72.192041829891821</v>
      </c>
    </row>
    <row r="43" spans="1:15" ht="13" x14ac:dyDescent="0.3">
      <c r="A43" s="241"/>
      <c r="B43" s="108" t="s">
        <v>27</v>
      </c>
      <c r="C43" s="245">
        <v>130.28108149320991</v>
      </c>
      <c r="D43" s="246">
        <v>112.10232593601783</v>
      </c>
      <c r="E43" s="246">
        <v>121.19170371461388</v>
      </c>
      <c r="F43" s="246">
        <v>109.07253334315247</v>
      </c>
      <c r="G43" s="246">
        <v>124.22149630747921</v>
      </c>
      <c r="H43" s="246">
        <v>121.19170371461388</v>
      </c>
      <c r="I43" s="246">
        <v>139.37045927180597</v>
      </c>
      <c r="J43" s="246">
        <v>142.40025186467128</v>
      </c>
      <c r="K43" s="246">
        <v>136.34066667894058</v>
      </c>
      <c r="L43" s="246">
        <v>127.25128890034453</v>
      </c>
      <c r="M43" s="246">
        <v>130.28108149320991</v>
      </c>
      <c r="N43" s="246">
        <v>115.13211852888318</v>
      </c>
      <c r="O43" s="247">
        <v>1508.8367112469427</v>
      </c>
    </row>
    <row r="44" spans="1:15" x14ac:dyDescent="0.25">
      <c r="A44" s="241"/>
      <c r="B44" s="108" t="s">
        <v>50</v>
      </c>
      <c r="C44" s="109">
        <v>148.14718789437754</v>
      </c>
      <c r="D44" s="97">
        <v>127.47548725795275</v>
      </c>
      <c r="E44" s="97">
        <v>137.81133757616513</v>
      </c>
      <c r="F44" s="97">
        <v>124.03020381854863</v>
      </c>
      <c r="G44" s="97">
        <v>141.25662101556927</v>
      </c>
      <c r="H44" s="97">
        <v>137.81133757616513</v>
      </c>
      <c r="I44" s="97">
        <v>158.48303821258992</v>
      </c>
      <c r="J44" s="97">
        <v>161.92832165199405</v>
      </c>
      <c r="K44" s="97">
        <v>155.03775477318578</v>
      </c>
      <c r="L44" s="97">
        <v>144.7019044549734</v>
      </c>
      <c r="M44" s="97">
        <v>148.14718789437754</v>
      </c>
      <c r="N44" s="97">
        <v>130.92077069735689</v>
      </c>
      <c r="O44" s="110">
        <v>1715.751152823256</v>
      </c>
    </row>
    <row r="45" spans="1:15" x14ac:dyDescent="0.25">
      <c r="A45" s="241"/>
      <c r="B45" s="108" t="s">
        <v>90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5">
      <c r="A46" s="241"/>
      <c r="B46" s="108" t="s">
        <v>92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5">
      <c r="A47" s="98" t="s">
        <v>8</v>
      </c>
      <c r="B47" s="98" t="s">
        <v>71</v>
      </c>
      <c r="C47" s="105">
        <v>481.08851905675368</v>
      </c>
      <c r="D47" s="106">
        <v>538.0595278924219</v>
      </c>
      <c r="E47" s="106">
        <v>544.3896399852739</v>
      </c>
      <c r="F47" s="106">
        <v>493.74874324245769</v>
      </c>
      <c r="G47" s="106">
        <v>582.37031254238605</v>
      </c>
      <c r="H47" s="106">
        <v>873.55546881357895</v>
      </c>
      <c r="I47" s="106">
        <v>930.52647764924723</v>
      </c>
      <c r="J47" s="106">
        <v>987.49748648491538</v>
      </c>
      <c r="K47" s="106">
        <v>886.21569299928308</v>
      </c>
      <c r="L47" s="106">
        <v>791.26401160650278</v>
      </c>
      <c r="M47" s="106">
        <v>500.0788553353097</v>
      </c>
      <c r="N47" s="106">
        <v>512.73907952101376</v>
      </c>
      <c r="O47" s="107">
        <v>8121.5338151291444</v>
      </c>
    </row>
    <row r="48" spans="1:15" ht="13" x14ac:dyDescent="0.3">
      <c r="A48" s="241"/>
      <c r="B48" s="108" t="s">
        <v>25</v>
      </c>
      <c r="C48" s="245">
        <v>219.24697766203991</v>
      </c>
      <c r="D48" s="246">
        <v>245.21043554307096</v>
      </c>
      <c r="E48" s="246">
        <v>248.09526419651883</v>
      </c>
      <c r="F48" s="246">
        <v>225.01663496893565</v>
      </c>
      <c r="G48" s="246">
        <v>265.40423611720621</v>
      </c>
      <c r="H48" s="246">
        <v>398.1063541758092</v>
      </c>
      <c r="I48" s="246">
        <v>424.06981205684036</v>
      </c>
      <c r="J48" s="246">
        <v>450.0332699378713</v>
      </c>
      <c r="K48" s="246">
        <v>403.87601148270511</v>
      </c>
      <c r="L48" s="246">
        <v>360.60358168098674</v>
      </c>
      <c r="M48" s="246">
        <v>227.90146362238352</v>
      </c>
      <c r="N48" s="246">
        <v>233.67112092927937</v>
      </c>
      <c r="O48" s="247">
        <v>3701.2351623736472</v>
      </c>
    </row>
    <row r="49" spans="1:15" ht="13" x14ac:dyDescent="0.3">
      <c r="A49" s="241"/>
      <c r="B49" s="108" t="s">
        <v>26</v>
      </c>
      <c r="C49" s="245">
        <v>11.017259395726461</v>
      </c>
      <c r="D49" s="246">
        <v>12.321934850483542</v>
      </c>
      <c r="E49" s="246">
        <v>12.466898789900995</v>
      </c>
      <c r="F49" s="246">
        <v>11.307187274561368</v>
      </c>
      <c r="G49" s="246">
        <v>13.336682426405716</v>
      </c>
      <c r="H49" s="246">
        <v>20.005023639608574</v>
      </c>
      <c r="I49" s="246">
        <v>21.309699094365655</v>
      </c>
      <c r="J49" s="246">
        <v>22.614374549122736</v>
      </c>
      <c r="K49" s="246">
        <v>20.294951518443479</v>
      </c>
      <c r="L49" s="246">
        <v>18.120492427181681</v>
      </c>
      <c r="M49" s="246">
        <v>11.452151213978821</v>
      </c>
      <c r="N49" s="246">
        <v>11.742079092813727</v>
      </c>
      <c r="O49" s="247">
        <v>185.98873427259275</v>
      </c>
    </row>
    <row r="50" spans="1:15" ht="13" x14ac:dyDescent="0.3">
      <c r="A50" s="241"/>
      <c r="B50" s="108" t="s">
        <v>27</v>
      </c>
      <c r="C50" s="245">
        <v>230.26423705776637</v>
      </c>
      <c r="D50" s="246">
        <v>257.53237039355452</v>
      </c>
      <c r="E50" s="246">
        <v>260.56216298641982</v>
      </c>
      <c r="F50" s="246">
        <v>236.32382224349701</v>
      </c>
      <c r="G50" s="246">
        <v>278.74091854361194</v>
      </c>
      <c r="H50" s="246">
        <v>418.11137781541777</v>
      </c>
      <c r="I50" s="246">
        <v>445.37951115120603</v>
      </c>
      <c r="J50" s="246">
        <v>472.64764448699401</v>
      </c>
      <c r="K50" s="246">
        <v>424.17096300114861</v>
      </c>
      <c r="L50" s="246">
        <v>378.7240741081684</v>
      </c>
      <c r="M50" s="246">
        <v>239.35361483636234</v>
      </c>
      <c r="N50" s="246">
        <v>245.41320002209309</v>
      </c>
      <c r="O50" s="247">
        <v>3887.2238966462396</v>
      </c>
    </row>
    <row r="51" spans="1:15" x14ac:dyDescent="0.25">
      <c r="A51" s="241"/>
      <c r="B51" s="108" t="s">
        <v>50</v>
      </c>
      <c r="C51" s="109">
        <v>261.84154139471377</v>
      </c>
      <c r="D51" s="97">
        <v>292.84909234935094</v>
      </c>
      <c r="E51" s="97">
        <v>296.29437578875508</v>
      </c>
      <c r="F51" s="97">
        <v>268.73210827352204</v>
      </c>
      <c r="G51" s="97">
        <v>316.96607642517984</v>
      </c>
      <c r="H51" s="97">
        <v>475.44911463776975</v>
      </c>
      <c r="I51" s="97">
        <v>506.45666559240686</v>
      </c>
      <c r="J51" s="97">
        <v>537.46421654704409</v>
      </c>
      <c r="K51" s="97">
        <v>482.33968151657797</v>
      </c>
      <c r="L51" s="97">
        <v>430.66042992551604</v>
      </c>
      <c r="M51" s="97">
        <v>272.17739171292618</v>
      </c>
      <c r="N51" s="97">
        <v>279.0679585917344</v>
      </c>
      <c r="O51" s="110">
        <v>4420.2986527554967</v>
      </c>
    </row>
    <row r="52" spans="1:15" x14ac:dyDescent="0.25">
      <c r="A52" s="241"/>
      <c r="B52" s="108" t="s">
        <v>90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5">
      <c r="A53" s="241"/>
      <c r="B53" s="108" t="s">
        <v>92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5">
      <c r="A54" s="98" t="s">
        <v>21</v>
      </c>
      <c r="B54" s="98" t="s">
        <v>71</v>
      </c>
      <c r="C54" s="105">
        <v>16211.417069794028</v>
      </c>
      <c r="D54" s="106">
        <v>17673.672963242843</v>
      </c>
      <c r="E54" s="106">
        <v>17755.96442044992</v>
      </c>
      <c r="F54" s="106">
        <v>16293.708527001105</v>
      </c>
      <c r="G54" s="106">
        <v>18800.432915770503</v>
      </c>
      <c r="H54" s="106">
        <v>23573.337433780929</v>
      </c>
      <c r="I54" s="106">
        <v>24833.02974025848</v>
      </c>
      <c r="J54" s="106">
        <v>25883.828347671919</v>
      </c>
      <c r="K54" s="106">
        <v>23617.648218430892</v>
      </c>
      <c r="L54" s="106">
        <v>22326.305351489082</v>
      </c>
      <c r="M54" s="106">
        <v>16262.057966536844</v>
      </c>
      <c r="N54" s="106">
        <v>16451.961329322403</v>
      </c>
      <c r="O54" s="107">
        <v>239683.36428374893</v>
      </c>
    </row>
    <row r="55" spans="1:15" ht="13" x14ac:dyDescent="0.3">
      <c r="A55" s="241"/>
      <c r="B55" s="108" t="s">
        <v>25</v>
      </c>
      <c r="C55" s="245">
        <v>7388.0461814800547</v>
      </c>
      <c r="D55" s="246">
        <v>8054.4416004265167</v>
      </c>
      <c r="E55" s="246">
        <v>8091.9443729213399</v>
      </c>
      <c r="F55" s="246">
        <v>7425.5489539748778</v>
      </c>
      <c r="G55" s="246">
        <v>8567.9411007402414</v>
      </c>
      <c r="H55" s="246">
        <v>10743.101905439955</v>
      </c>
      <c r="I55" s="246">
        <v>11317.182807476083</v>
      </c>
      <c r="J55" s="246">
        <v>11796.064363948437</v>
      </c>
      <c r="K55" s="246">
        <v>10763.295706014089</v>
      </c>
      <c r="L55" s="246">
        <v>10174.79066071072</v>
      </c>
      <c r="M55" s="246">
        <v>7411.1248107076372</v>
      </c>
      <c r="N55" s="246">
        <v>7497.6696703110738</v>
      </c>
      <c r="O55" s="247">
        <v>109231.15213415102</v>
      </c>
    </row>
    <row r="56" spans="1:15" ht="13" x14ac:dyDescent="0.3">
      <c r="A56" s="241"/>
      <c r="B56" s="108" t="s">
        <v>26</v>
      </c>
      <c r="C56" s="245">
        <v>371.25264884809826</v>
      </c>
      <c r="D56" s="246">
        <v>404.73931885352994</v>
      </c>
      <c r="E56" s="246">
        <v>406.62385006595684</v>
      </c>
      <c r="F56" s="246">
        <v>373.13718006052517</v>
      </c>
      <c r="G56" s="246">
        <v>430.54290006983672</v>
      </c>
      <c r="H56" s="246">
        <v>539.84571039059654</v>
      </c>
      <c r="I56" s="246">
        <v>568.69353433466983</v>
      </c>
      <c r="J56" s="246">
        <v>592.75754827796709</v>
      </c>
      <c r="K56" s="246">
        <v>540.86045796651877</v>
      </c>
      <c r="L56" s="246">
        <v>511.28781432535828</v>
      </c>
      <c r="M56" s="246">
        <v>372.41236036343781</v>
      </c>
      <c r="N56" s="246">
        <v>376.76127854596149</v>
      </c>
      <c r="O56" s="247">
        <v>5488.9146021024571</v>
      </c>
    </row>
    <row r="57" spans="1:15" ht="13" x14ac:dyDescent="0.3">
      <c r="A57" s="241"/>
      <c r="B57" s="108" t="s">
        <v>27</v>
      </c>
      <c r="C57" s="245">
        <v>7759.2988303281527</v>
      </c>
      <c r="D57" s="246">
        <v>8459.1809192800465</v>
      </c>
      <c r="E57" s="246">
        <v>8498.5682229872964</v>
      </c>
      <c r="F57" s="246">
        <v>7798.6861340354026</v>
      </c>
      <c r="G57" s="246">
        <v>8998.4840008100782</v>
      </c>
      <c r="H57" s="246">
        <v>11282.947615830552</v>
      </c>
      <c r="I57" s="246">
        <v>11885.876341810754</v>
      </c>
      <c r="J57" s="246">
        <v>12388.821912226404</v>
      </c>
      <c r="K57" s="246">
        <v>11304.156163980608</v>
      </c>
      <c r="L57" s="246">
        <v>10686.078475036078</v>
      </c>
      <c r="M57" s="246">
        <v>7783.5371710710751</v>
      </c>
      <c r="N57" s="246">
        <v>7874.4309488570352</v>
      </c>
      <c r="O57" s="247">
        <v>114720.06673625346</v>
      </c>
    </row>
    <row r="58" spans="1:15" x14ac:dyDescent="0.25">
      <c r="A58" s="241"/>
      <c r="B58" s="108" t="s">
        <v>50</v>
      </c>
      <c r="C58" s="109">
        <v>8823.3708883139734</v>
      </c>
      <c r="D58" s="97">
        <v>9619.2313628163265</v>
      </c>
      <c r="E58" s="97">
        <v>9664.0200475285801</v>
      </c>
      <c r="F58" s="97">
        <v>8868.159573026227</v>
      </c>
      <c r="G58" s="97">
        <v>10232.491815030262</v>
      </c>
      <c r="H58" s="97">
        <v>12830.235528340974</v>
      </c>
      <c r="I58" s="97">
        <v>13515.846932782397</v>
      </c>
      <c r="J58" s="97">
        <v>14087.763983723482</v>
      </c>
      <c r="K58" s="97">
        <v>12854.352512416803</v>
      </c>
      <c r="L58" s="97">
        <v>12151.514690778362</v>
      </c>
      <c r="M58" s="97">
        <v>8850.933155829207</v>
      </c>
      <c r="N58" s="97">
        <v>8954.2916590113291</v>
      </c>
      <c r="O58" s="110">
        <v>130452.21214959794</v>
      </c>
    </row>
    <row r="59" spans="1:15" x14ac:dyDescent="0.25">
      <c r="A59" s="241"/>
      <c r="B59" s="108" t="s">
        <v>90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5">
      <c r="A60" s="241"/>
      <c r="B60" s="108" t="s">
        <v>92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5">
      <c r="A61" s="98" t="s">
        <v>22</v>
      </c>
      <c r="B61" s="98" t="s">
        <v>71</v>
      </c>
      <c r="C61" s="105">
        <v>18971.345942277509</v>
      </c>
      <c r="D61" s="106">
        <v>18300.354060435195</v>
      </c>
      <c r="E61" s="106">
        <v>18813.093139956211</v>
      </c>
      <c r="F61" s="106">
        <v>15502.444515394602</v>
      </c>
      <c r="G61" s="106">
        <v>19319.502107384371</v>
      </c>
      <c r="H61" s="106">
        <v>21281.836856168498</v>
      </c>
      <c r="I61" s="106">
        <v>21883.197504989439</v>
      </c>
      <c r="J61" s="106">
        <v>23193.530708209808</v>
      </c>
      <c r="K61" s="106">
        <v>21990.809410567923</v>
      </c>
      <c r="L61" s="106">
        <v>20895.700018504525</v>
      </c>
      <c r="M61" s="106">
        <v>18559.888656242128</v>
      </c>
      <c r="N61" s="106">
        <v>17971.188231606891</v>
      </c>
      <c r="O61" s="107">
        <v>236682.8911517371</v>
      </c>
    </row>
    <row r="62" spans="1:15" ht="13" x14ac:dyDescent="0.3">
      <c r="A62" s="241"/>
      <c r="B62" s="108" t="s">
        <v>25</v>
      </c>
      <c r="C62" s="245">
        <v>8645.8314743833362</v>
      </c>
      <c r="D62" s="246">
        <v>8340.0396371178595</v>
      </c>
      <c r="E62" s="246">
        <v>8573.7107580471402</v>
      </c>
      <c r="F62" s="246">
        <v>7064.9453722938906</v>
      </c>
      <c r="G62" s="246">
        <v>8804.4970503229706</v>
      </c>
      <c r="H62" s="246">
        <v>9698.7939328918183</v>
      </c>
      <c r="I62" s="246">
        <v>9972.852654969367</v>
      </c>
      <c r="J62" s="246">
        <v>10570.012186233082</v>
      </c>
      <c r="K62" s="246">
        <v>10021.89474207798</v>
      </c>
      <c r="L62" s="246">
        <v>9522.8193850314965</v>
      </c>
      <c r="M62" s="246">
        <v>8458.3176119092241</v>
      </c>
      <c r="N62" s="246">
        <v>8190.0285471385705</v>
      </c>
      <c r="O62" s="247">
        <v>107863.74335241676</v>
      </c>
    </row>
    <row r="63" spans="1:15" ht="13" x14ac:dyDescent="0.3">
      <c r="A63" s="241"/>
      <c r="B63" s="108" t="s">
        <v>26</v>
      </c>
      <c r="C63" s="245">
        <v>434.45692643410791</v>
      </c>
      <c r="D63" s="246">
        <v>419.0907488558579</v>
      </c>
      <c r="E63" s="246">
        <v>430.83282794867159</v>
      </c>
      <c r="F63" s="246">
        <v>355.01668763334345</v>
      </c>
      <c r="G63" s="246">
        <v>442.42994310206785</v>
      </c>
      <c r="H63" s="246">
        <v>487.36876432147841</v>
      </c>
      <c r="I63" s="246">
        <v>501.14033856613645</v>
      </c>
      <c r="J63" s="246">
        <v>531.14787402554941</v>
      </c>
      <c r="K63" s="246">
        <v>503.60472553623322</v>
      </c>
      <c r="L63" s="246">
        <v>478.52596401701379</v>
      </c>
      <c r="M63" s="246">
        <v>425.03427037197349</v>
      </c>
      <c r="N63" s="246">
        <v>411.55262400615027</v>
      </c>
      <c r="O63" s="247">
        <v>5420.2016948185828</v>
      </c>
    </row>
    <row r="64" spans="1:15" ht="13" x14ac:dyDescent="0.3">
      <c r="A64" s="241"/>
      <c r="B64" s="108" t="s">
        <v>27</v>
      </c>
      <c r="C64" s="245">
        <v>9080.2884008174442</v>
      </c>
      <c r="D64" s="246">
        <v>8759.1303859737181</v>
      </c>
      <c r="E64" s="246">
        <v>9004.5435859958125</v>
      </c>
      <c r="F64" s="246">
        <v>7419.9620599272339</v>
      </c>
      <c r="G64" s="246">
        <v>9246.9269934250387</v>
      </c>
      <c r="H64" s="246">
        <v>10186.162697213296</v>
      </c>
      <c r="I64" s="246">
        <v>10473.992993535503</v>
      </c>
      <c r="J64" s="246">
        <v>11101.160060258631</v>
      </c>
      <c r="K64" s="246">
        <v>10525.499467614214</v>
      </c>
      <c r="L64" s="246">
        <v>10001.34534904851</v>
      </c>
      <c r="M64" s="246">
        <v>8883.3518822811984</v>
      </c>
      <c r="N64" s="246">
        <v>8601.5811711447204</v>
      </c>
      <c r="O64" s="247">
        <v>113283.94504723532</v>
      </c>
    </row>
    <row r="65" spans="1:15" x14ac:dyDescent="0.25">
      <c r="A65" s="241"/>
      <c r="B65" s="108" t="s">
        <v>50</v>
      </c>
      <c r="C65" s="109">
        <v>10325.514467894172</v>
      </c>
      <c r="D65" s="97">
        <v>9960.3144233173352</v>
      </c>
      <c r="E65" s="97">
        <v>10239.38238190907</v>
      </c>
      <c r="F65" s="97">
        <v>8437.4991431007111</v>
      </c>
      <c r="G65" s="97">
        <v>10515.0050570614</v>
      </c>
      <c r="H65" s="97">
        <v>11583.04292327668</v>
      </c>
      <c r="I65" s="97">
        <v>11910.344850020072</v>
      </c>
      <c r="J65" s="97">
        <v>12623.518521976726</v>
      </c>
      <c r="K65" s="97">
        <v>11968.914668489942</v>
      </c>
      <c r="L65" s="97">
        <v>11372.880633473029</v>
      </c>
      <c r="M65" s="97">
        <v>10101.571044332904</v>
      </c>
      <c r="N65" s="97">
        <v>9781.1596844683208</v>
      </c>
      <c r="O65" s="110">
        <v>128819.14779932037</v>
      </c>
    </row>
    <row r="66" spans="1:15" x14ac:dyDescent="0.25">
      <c r="A66" s="241"/>
      <c r="B66" s="108" t="s">
        <v>90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5">
      <c r="A67" s="241"/>
      <c r="B67" s="108" t="s">
        <v>92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5">
      <c r="A68" s="98" t="s">
        <v>9</v>
      </c>
      <c r="B68" s="98" t="s">
        <v>71</v>
      </c>
      <c r="C68" s="105">
        <v>253.20448371408088</v>
      </c>
      <c r="D68" s="106">
        <v>253.20448371408088</v>
      </c>
      <c r="E68" s="106">
        <v>272.19481999263695</v>
      </c>
      <c r="F68" s="106">
        <v>170.91302650700459</v>
      </c>
      <c r="G68" s="106">
        <v>208.89369906411673</v>
      </c>
      <c r="H68" s="106">
        <v>246.87437162122885</v>
      </c>
      <c r="I68" s="106">
        <v>246.87437162122885</v>
      </c>
      <c r="J68" s="106">
        <v>272.19481999263695</v>
      </c>
      <c r="K68" s="106">
        <v>253.20448371408088</v>
      </c>
      <c r="L68" s="106">
        <v>189.90336278556066</v>
      </c>
      <c r="M68" s="106">
        <v>234.21414743552481</v>
      </c>
      <c r="N68" s="106">
        <v>259.53459580693288</v>
      </c>
      <c r="O68" s="107">
        <v>2861.2106659691135</v>
      </c>
    </row>
    <row r="69" spans="1:15" ht="13" x14ac:dyDescent="0.3">
      <c r="A69" s="241"/>
      <c r="B69" s="108" t="s">
        <v>25</v>
      </c>
      <c r="C69" s="245">
        <v>115.39314613791575</v>
      </c>
      <c r="D69" s="246">
        <v>115.39314613791575</v>
      </c>
      <c r="E69" s="246">
        <v>124.04763209825941</v>
      </c>
      <c r="F69" s="246">
        <v>77.890373643093113</v>
      </c>
      <c r="G69" s="246">
        <v>95.199345563780497</v>
      </c>
      <c r="H69" s="246">
        <v>112.50831748446782</v>
      </c>
      <c r="I69" s="246">
        <v>112.50831748446782</v>
      </c>
      <c r="J69" s="246">
        <v>124.04763209825941</v>
      </c>
      <c r="K69" s="246">
        <v>115.39314613791575</v>
      </c>
      <c r="L69" s="246">
        <v>86.544859603436805</v>
      </c>
      <c r="M69" s="246">
        <v>106.73866017757206</v>
      </c>
      <c r="N69" s="246">
        <v>118.27797479136362</v>
      </c>
      <c r="O69" s="247">
        <v>1303.9425513584479</v>
      </c>
    </row>
    <row r="70" spans="1:15" ht="13" x14ac:dyDescent="0.3">
      <c r="A70" s="241"/>
      <c r="B70" s="108" t="s">
        <v>26</v>
      </c>
      <c r="C70" s="245">
        <v>5.798557576698137</v>
      </c>
      <c r="D70" s="246">
        <v>5.798557576698137</v>
      </c>
      <c r="E70" s="246">
        <v>6.2334493949504974</v>
      </c>
      <c r="F70" s="246">
        <v>3.9140263642712427</v>
      </c>
      <c r="G70" s="246">
        <v>4.7838100007759632</v>
      </c>
      <c r="H70" s="246">
        <v>5.6535936372806841</v>
      </c>
      <c r="I70" s="246">
        <v>5.6535936372806841</v>
      </c>
      <c r="J70" s="246">
        <v>6.2334493949504974</v>
      </c>
      <c r="K70" s="246">
        <v>5.798557576698137</v>
      </c>
      <c r="L70" s="246">
        <v>4.3489181825236027</v>
      </c>
      <c r="M70" s="246">
        <v>5.3636657584457774</v>
      </c>
      <c r="N70" s="246">
        <v>5.9435215161155908</v>
      </c>
      <c r="O70" s="247">
        <v>65.523700616688956</v>
      </c>
    </row>
    <row r="71" spans="1:15" ht="13" x14ac:dyDescent="0.3">
      <c r="A71" s="241"/>
      <c r="B71" s="108" t="s">
        <v>27</v>
      </c>
      <c r="C71" s="245">
        <v>121.19170371461388</v>
      </c>
      <c r="D71" s="246">
        <v>121.19170371461388</v>
      </c>
      <c r="E71" s="246">
        <v>130.28108149320991</v>
      </c>
      <c r="F71" s="246">
        <v>81.80440000736435</v>
      </c>
      <c r="G71" s="246">
        <v>99.983155564556455</v>
      </c>
      <c r="H71" s="246">
        <v>118.1619111217485</v>
      </c>
      <c r="I71" s="246">
        <v>118.1619111217485</v>
      </c>
      <c r="J71" s="246">
        <v>130.28108149320991</v>
      </c>
      <c r="K71" s="246">
        <v>121.19170371461388</v>
      </c>
      <c r="L71" s="246">
        <v>90.89377778596041</v>
      </c>
      <c r="M71" s="246">
        <v>112.10232593601783</v>
      </c>
      <c r="N71" s="246">
        <v>124.22149630747921</v>
      </c>
      <c r="O71" s="247">
        <v>1369.4662519751366</v>
      </c>
    </row>
    <row r="72" spans="1:15" x14ac:dyDescent="0.25">
      <c r="A72" s="241"/>
      <c r="B72" s="108" t="s">
        <v>50</v>
      </c>
      <c r="C72" s="109">
        <v>137.81133757616513</v>
      </c>
      <c r="D72" s="97">
        <v>137.81133757616513</v>
      </c>
      <c r="E72" s="97">
        <v>148.14718789437754</v>
      </c>
      <c r="F72" s="97">
        <v>93.022652863911475</v>
      </c>
      <c r="G72" s="97">
        <v>113.69435350033623</v>
      </c>
      <c r="H72" s="97">
        <v>134.36605413676102</v>
      </c>
      <c r="I72" s="97">
        <v>134.36605413676102</v>
      </c>
      <c r="J72" s="97">
        <v>148.14718789437754</v>
      </c>
      <c r="K72" s="97">
        <v>137.81133757616513</v>
      </c>
      <c r="L72" s="97">
        <v>103.35850318212385</v>
      </c>
      <c r="M72" s="97">
        <v>127.47548725795275</v>
      </c>
      <c r="N72" s="97">
        <v>141.25662101556927</v>
      </c>
      <c r="O72" s="110">
        <v>1557.2681146106661</v>
      </c>
    </row>
    <row r="73" spans="1:15" x14ac:dyDescent="0.25">
      <c r="A73" s="241"/>
      <c r="B73" s="108" t="s">
        <v>90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5">
      <c r="A74" s="241"/>
      <c r="B74" s="108" t="s">
        <v>92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5">
      <c r="A75" s="98" t="s">
        <v>55</v>
      </c>
      <c r="B75" s="98" t="s">
        <v>71</v>
      </c>
      <c r="C75" s="105">
        <v>683.65210602801835</v>
      </c>
      <c r="D75" s="106">
        <v>734.29300277083451</v>
      </c>
      <c r="E75" s="106">
        <v>727.9628906779825</v>
      </c>
      <c r="F75" s="106">
        <v>607.69076091379407</v>
      </c>
      <c r="G75" s="106">
        <v>803.92423579220679</v>
      </c>
      <c r="H75" s="106">
        <v>905.20602927783909</v>
      </c>
      <c r="I75" s="106">
        <v>968.50715020635937</v>
      </c>
      <c r="J75" s="106">
        <v>1025.4781590420275</v>
      </c>
      <c r="K75" s="106">
        <v>917.86625346354322</v>
      </c>
      <c r="L75" s="106">
        <v>848.23502044217093</v>
      </c>
      <c r="M75" s="106">
        <v>664.66176974946234</v>
      </c>
      <c r="N75" s="106">
        <v>670.99188184231434</v>
      </c>
      <c r="O75" s="107">
        <v>9558.4692602065516</v>
      </c>
    </row>
    <row r="76" spans="1:15" x14ac:dyDescent="0.25">
      <c r="A76" s="241"/>
      <c r="B76" s="108" t="s">
        <v>25</v>
      </c>
      <c r="C76" s="109">
        <v>311.56149457237245</v>
      </c>
      <c r="D76" s="97">
        <v>334.64012379995557</v>
      </c>
      <c r="E76" s="97">
        <v>331.75529514650771</v>
      </c>
      <c r="F76" s="97">
        <v>276.94355073099774</v>
      </c>
      <c r="G76" s="97">
        <v>366.37323898788247</v>
      </c>
      <c r="H76" s="97">
        <v>412.53049744304872</v>
      </c>
      <c r="I76" s="97">
        <v>441.37878397752775</v>
      </c>
      <c r="J76" s="97">
        <v>467.34224185855874</v>
      </c>
      <c r="K76" s="97">
        <v>418.30015474994457</v>
      </c>
      <c r="L76" s="97">
        <v>386.56703956201773</v>
      </c>
      <c r="M76" s="97">
        <v>302.90700861202885</v>
      </c>
      <c r="N76" s="97">
        <v>305.79183726547672</v>
      </c>
      <c r="O76" s="110">
        <v>4356.0912667063185</v>
      </c>
    </row>
    <row r="77" spans="1:15" x14ac:dyDescent="0.25">
      <c r="A77" s="241"/>
      <c r="B77" s="108" t="s">
        <v>26</v>
      </c>
      <c r="C77" s="109">
        <v>15.656105457084971</v>
      </c>
      <c r="D77" s="97">
        <v>16.815816972424599</v>
      </c>
      <c r="E77" s="97">
        <v>16.670853033007145</v>
      </c>
      <c r="F77" s="97">
        <v>13.916538184075529</v>
      </c>
      <c r="G77" s="97">
        <v>18.410420306016587</v>
      </c>
      <c r="H77" s="97">
        <v>20.72984333669584</v>
      </c>
      <c r="I77" s="97">
        <v>22.179482730870376</v>
      </c>
      <c r="J77" s="97">
        <v>23.484158185627454</v>
      </c>
      <c r="K77" s="97">
        <v>21.019771215530749</v>
      </c>
      <c r="L77" s="97">
        <v>19.425167881938759</v>
      </c>
      <c r="M77" s="97">
        <v>15.221213638832609</v>
      </c>
      <c r="N77" s="97">
        <v>15.366177578250063</v>
      </c>
      <c r="O77" s="110">
        <v>218.89554852035468</v>
      </c>
    </row>
    <row r="78" spans="1:15" x14ac:dyDescent="0.25">
      <c r="A78" s="241"/>
      <c r="B78" s="108" t="s">
        <v>27</v>
      </c>
      <c r="C78" s="109">
        <v>327.2176000294574</v>
      </c>
      <c r="D78" s="97">
        <v>351.45594077238019</v>
      </c>
      <c r="E78" s="97">
        <v>348.42614817951483</v>
      </c>
      <c r="F78" s="97">
        <v>290.86008891507328</v>
      </c>
      <c r="G78" s="97">
        <v>384.78365929389906</v>
      </c>
      <c r="H78" s="97">
        <v>433.26034077974458</v>
      </c>
      <c r="I78" s="97">
        <v>463.55826670839815</v>
      </c>
      <c r="J78" s="97">
        <v>490.82640004418619</v>
      </c>
      <c r="K78" s="97">
        <v>439.31992596547531</v>
      </c>
      <c r="L78" s="97">
        <v>405.99220744395649</v>
      </c>
      <c r="M78" s="97">
        <v>318.12822225086143</v>
      </c>
      <c r="N78" s="97">
        <v>321.15801484372679</v>
      </c>
      <c r="O78" s="110">
        <v>4574.9868152266736</v>
      </c>
    </row>
    <row r="79" spans="1:15" x14ac:dyDescent="0.25">
      <c r="A79" s="241"/>
      <c r="B79" s="108" t="s">
        <v>50</v>
      </c>
      <c r="C79" s="109">
        <v>372.0906114556459</v>
      </c>
      <c r="D79" s="97">
        <v>399.65287897087893</v>
      </c>
      <c r="E79" s="97">
        <v>396.20759553147479</v>
      </c>
      <c r="F79" s="97">
        <v>330.74721018279632</v>
      </c>
      <c r="G79" s="97">
        <v>437.55099680432431</v>
      </c>
      <c r="H79" s="97">
        <v>492.67553183479038</v>
      </c>
      <c r="I79" s="97">
        <v>527.12836622883162</v>
      </c>
      <c r="J79" s="97">
        <v>558.13591718346879</v>
      </c>
      <c r="K79" s="97">
        <v>499.56609871359865</v>
      </c>
      <c r="L79" s="97">
        <v>461.66798088015321</v>
      </c>
      <c r="M79" s="97">
        <v>361.75476113743349</v>
      </c>
      <c r="N79" s="97">
        <v>365.20004457683763</v>
      </c>
      <c r="O79" s="110">
        <v>5202.3779935002331</v>
      </c>
    </row>
    <row r="80" spans="1:15" x14ac:dyDescent="0.25">
      <c r="A80" s="241"/>
      <c r="B80" s="108" t="s">
        <v>90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5">
      <c r="A81" s="241"/>
      <c r="B81" s="108" t="s">
        <v>92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5">
      <c r="A82" s="98" t="s">
        <v>56</v>
      </c>
      <c r="B82" s="98" t="s">
        <v>71</v>
      </c>
      <c r="C82" s="105">
        <v>69.631233021372239</v>
      </c>
      <c r="D82" s="106">
        <v>56.971008835668194</v>
      </c>
      <c r="E82" s="106">
        <v>75.961345114224258</v>
      </c>
      <c r="F82" s="106">
        <v>63.30112092852022</v>
      </c>
      <c r="G82" s="106">
        <v>82.291457207076277</v>
      </c>
      <c r="H82" s="106">
        <v>75.961345114224258</v>
      </c>
      <c r="I82" s="106">
        <v>88.621569299928311</v>
      </c>
      <c r="J82" s="106">
        <v>101.28179348563235</v>
      </c>
      <c r="K82" s="106">
        <v>82.291457207076277</v>
      </c>
      <c r="L82" s="106">
        <v>75.961345114224258</v>
      </c>
      <c r="M82" s="106">
        <v>56.971008835668194</v>
      </c>
      <c r="N82" s="106">
        <v>63.30112092852022</v>
      </c>
      <c r="O82" s="107">
        <v>892.54580509213497</v>
      </c>
    </row>
    <row r="83" spans="1:15" x14ac:dyDescent="0.25">
      <c r="A83" s="241"/>
      <c r="B83" s="108" t="s">
        <v>25</v>
      </c>
      <c r="C83" s="109">
        <v>31.733115187926828</v>
      </c>
      <c r="D83" s="97">
        <v>25.963457881031037</v>
      </c>
      <c r="E83" s="97">
        <v>34.617943841374718</v>
      </c>
      <c r="F83" s="97">
        <v>28.848286534478937</v>
      </c>
      <c r="G83" s="97">
        <v>37.502772494822608</v>
      </c>
      <c r="H83" s="97">
        <v>34.617943841374718</v>
      </c>
      <c r="I83" s="97">
        <v>40.387601148270512</v>
      </c>
      <c r="J83" s="97">
        <v>46.157258455166293</v>
      </c>
      <c r="K83" s="97">
        <v>37.502772494822608</v>
      </c>
      <c r="L83" s="97">
        <v>34.617943841374718</v>
      </c>
      <c r="M83" s="97">
        <v>25.963457881031037</v>
      </c>
      <c r="N83" s="97">
        <v>28.848286534478937</v>
      </c>
      <c r="O83" s="110">
        <v>406.76084013615286</v>
      </c>
    </row>
    <row r="84" spans="1:15" x14ac:dyDescent="0.25">
      <c r="A84" s="241"/>
      <c r="B84" s="108" t="s">
        <v>26</v>
      </c>
      <c r="C84" s="109">
        <v>1.5946033335919878</v>
      </c>
      <c r="D84" s="97">
        <v>1.3046754547570809</v>
      </c>
      <c r="E84" s="97">
        <v>1.7395672730094411</v>
      </c>
      <c r="F84" s="97">
        <v>1.4496393941745342</v>
      </c>
      <c r="G84" s="97">
        <v>1.8845312124268947</v>
      </c>
      <c r="H84" s="97">
        <v>1.7395672730094411</v>
      </c>
      <c r="I84" s="97">
        <v>2.029495151844348</v>
      </c>
      <c r="J84" s="97">
        <v>2.3194230306792551</v>
      </c>
      <c r="K84" s="97">
        <v>1.8845312124268947</v>
      </c>
      <c r="L84" s="97">
        <v>1.7395672730094411</v>
      </c>
      <c r="M84" s="97">
        <v>1.3046754547570809</v>
      </c>
      <c r="N84" s="97">
        <v>1.4496393941745342</v>
      </c>
      <c r="O84" s="110">
        <v>20.439915457860934</v>
      </c>
    </row>
    <row r="85" spans="1:15" x14ac:dyDescent="0.25">
      <c r="A85" s="241"/>
      <c r="B85" s="108" t="s">
        <v>27</v>
      </c>
      <c r="C85" s="109">
        <v>33.327718521518818</v>
      </c>
      <c r="D85" s="97">
        <v>27.268133335788118</v>
      </c>
      <c r="E85" s="97">
        <v>36.35751111438416</v>
      </c>
      <c r="F85" s="97">
        <v>30.29792592865347</v>
      </c>
      <c r="G85" s="97">
        <v>39.387303707249501</v>
      </c>
      <c r="H85" s="97">
        <v>36.35751111438416</v>
      </c>
      <c r="I85" s="97">
        <v>42.417096300114864</v>
      </c>
      <c r="J85" s="97">
        <v>48.476681485845546</v>
      </c>
      <c r="K85" s="97">
        <v>39.387303707249501</v>
      </c>
      <c r="L85" s="97">
        <v>36.35751111438416</v>
      </c>
      <c r="M85" s="97">
        <v>27.268133335788118</v>
      </c>
      <c r="N85" s="97">
        <v>30.29792592865347</v>
      </c>
      <c r="O85" s="110">
        <v>427.20075559401386</v>
      </c>
    </row>
    <row r="86" spans="1:15" x14ac:dyDescent="0.25">
      <c r="A86" s="241"/>
      <c r="B86" s="108" t="s">
        <v>50</v>
      </c>
      <c r="C86" s="109">
        <v>37.898117833445411</v>
      </c>
      <c r="D86" s="97">
        <v>31.007550954637157</v>
      </c>
      <c r="E86" s="97">
        <v>41.34340127284954</v>
      </c>
      <c r="F86" s="97">
        <v>34.452834394041282</v>
      </c>
      <c r="G86" s="97">
        <v>44.788684712253669</v>
      </c>
      <c r="H86" s="97">
        <v>41.34340127284954</v>
      </c>
      <c r="I86" s="97">
        <v>48.233968151657798</v>
      </c>
      <c r="J86" s="97">
        <v>55.124535030466056</v>
      </c>
      <c r="K86" s="97">
        <v>44.788684712253669</v>
      </c>
      <c r="L86" s="97">
        <v>41.34340127284954</v>
      </c>
      <c r="M86" s="97">
        <v>31.007550954637157</v>
      </c>
      <c r="N86" s="97">
        <v>34.452834394041282</v>
      </c>
      <c r="O86" s="110">
        <v>485.7849649559821</v>
      </c>
    </row>
    <row r="87" spans="1:15" x14ac:dyDescent="0.25">
      <c r="A87" s="241"/>
      <c r="B87" s="108" t="s">
        <v>90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5">
      <c r="A88" s="241"/>
      <c r="B88" s="108" t="s">
        <v>92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5">
      <c r="A89" s="98" t="s">
        <v>57</v>
      </c>
      <c r="B89" s="98" t="s">
        <v>71</v>
      </c>
      <c r="C89" s="105">
        <v>139.26246604274448</v>
      </c>
      <c r="D89" s="106">
        <v>126.60224185704044</v>
      </c>
      <c r="E89" s="106">
        <v>132.93235394989244</v>
      </c>
      <c r="F89" s="106">
        <v>132.93235394989244</v>
      </c>
      <c r="G89" s="106">
        <v>189.90336278556066</v>
      </c>
      <c r="H89" s="106">
        <v>202.5635869712647</v>
      </c>
      <c r="I89" s="106">
        <v>208.89369906411673</v>
      </c>
      <c r="J89" s="106">
        <v>227.88403534267277</v>
      </c>
      <c r="K89" s="106">
        <v>215.22381115696874</v>
      </c>
      <c r="L89" s="106">
        <v>215.22381115696874</v>
      </c>
      <c r="M89" s="106">
        <v>132.93235394989244</v>
      </c>
      <c r="N89" s="106">
        <v>132.93235394989244</v>
      </c>
      <c r="O89" s="107">
        <v>2057.2864301769068</v>
      </c>
    </row>
    <row r="90" spans="1:15" x14ac:dyDescent="0.25">
      <c r="A90" s="241"/>
      <c r="B90" s="108" t="s">
        <v>25</v>
      </c>
      <c r="C90" s="109">
        <v>63.466230375853655</v>
      </c>
      <c r="D90" s="97">
        <v>57.696573068957875</v>
      </c>
      <c r="E90" s="97">
        <v>60.581401722405744</v>
      </c>
      <c r="F90" s="97">
        <v>60.581401722405744</v>
      </c>
      <c r="G90" s="97">
        <v>86.544859603436805</v>
      </c>
      <c r="H90" s="97">
        <v>92.314516910332586</v>
      </c>
      <c r="I90" s="97">
        <v>95.199345563780497</v>
      </c>
      <c r="J90" s="97">
        <v>103.85383152412415</v>
      </c>
      <c r="K90" s="97">
        <v>98.084174217228366</v>
      </c>
      <c r="L90" s="97">
        <v>98.084174217228366</v>
      </c>
      <c r="M90" s="97">
        <v>60.581401722405744</v>
      </c>
      <c r="N90" s="97">
        <v>60.581401722405744</v>
      </c>
      <c r="O90" s="110">
        <v>937.56931237056529</v>
      </c>
    </row>
    <row r="91" spans="1:15" x14ac:dyDescent="0.25">
      <c r="A91" s="241"/>
      <c r="B91" s="108" t="s">
        <v>26</v>
      </c>
      <c r="C91" s="109">
        <v>3.1892066671839756</v>
      </c>
      <c r="D91" s="97">
        <v>2.8992787883490685</v>
      </c>
      <c r="E91" s="97">
        <v>3.0442427277665218</v>
      </c>
      <c r="F91" s="97">
        <v>3.0442427277665218</v>
      </c>
      <c r="G91" s="97">
        <v>4.3489181825236027</v>
      </c>
      <c r="H91" s="97">
        <v>4.6388460613585103</v>
      </c>
      <c r="I91" s="97">
        <v>4.7838100007759632</v>
      </c>
      <c r="J91" s="97">
        <v>5.2187018190283236</v>
      </c>
      <c r="K91" s="97">
        <v>4.928773940193417</v>
      </c>
      <c r="L91" s="97">
        <v>4.928773940193417</v>
      </c>
      <c r="M91" s="97">
        <v>3.0442427277665218</v>
      </c>
      <c r="N91" s="97">
        <v>3.0442427277665218</v>
      </c>
      <c r="O91" s="110">
        <v>47.113280310672366</v>
      </c>
    </row>
    <row r="92" spans="1:15" x14ac:dyDescent="0.25">
      <c r="A92" s="241"/>
      <c r="B92" s="108" t="s">
        <v>27</v>
      </c>
      <c r="C92" s="109">
        <v>66.655437043037637</v>
      </c>
      <c r="D92" s="97">
        <v>60.59585185730694</v>
      </c>
      <c r="E92" s="97">
        <v>63.625644450172267</v>
      </c>
      <c r="F92" s="97">
        <v>63.625644450172267</v>
      </c>
      <c r="G92" s="97">
        <v>90.89377778596041</v>
      </c>
      <c r="H92" s="97">
        <v>96.953362971691092</v>
      </c>
      <c r="I92" s="97">
        <v>99.983155564556455</v>
      </c>
      <c r="J92" s="97">
        <v>109.07253334315247</v>
      </c>
      <c r="K92" s="97">
        <v>103.01294815742179</v>
      </c>
      <c r="L92" s="97">
        <v>103.01294815742179</v>
      </c>
      <c r="M92" s="97">
        <v>63.625644450172267</v>
      </c>
      <c r="N92" s="97">
        <v>63.625644450172267</v>
      </c>
      <c r="O92" s="110">
        <v>984.68259268123745</v>
      </c>
    </row>
    <row r="93" spans="1:15" x14ac:dyDescent="0.25">
      <c r="A93" s="241"/>
      <c r="B93" s="108" t="s">
        <v>50</v>
      </c>
      <c r="C93" s="109">
        <v>75.796235666890823</v>
      </c>
      <c r="D93" s="97">
        <v>68.905668788082565</v>
      </c>
      <c r="E93" s="97">
        <v>72.350952227486701</v>
      </c>
      <c r="F93" s="97">
        <v>72.350952227486701</v>
      </c>
      <c r="G93" s="97">
        <v>103.35850318212385</v>
      </c>
      <c r="H93" s="97">
        <v>110.24907006093211</v>
      </c>
      <c r="I93" s="97">
        <v>113.69435350033623</v>
      </c>
      <c r="J93" s="97">
        <v>124.03020381854863</v>
      </c>
      <c r="K93" s="97">
        <v>117.13963693974037</v>
      </c>
      <c r="L93" s="97">
        <v>117.13963693974037</v>
      </c>
      <c r="M93" s="97">
        <v>72.350952227486701</v>
      </c>
      <c r="N93" s="97">
        <v>72.350952227486701</v>
      </c>
      <c r="O93" s="110">
        <v>1119.7171178063418</v>
      </c>
    </row>
    <row r="94" spans="1:15" x14ac:dyDescent="0.25">
      <c r="A94" s="241"/>
      <c r="B94" s="108" t="s">
        <v>90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5">
      <c r="A95" s="241"/>
      <c r="B95" s="108" t="s">
        <v>92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5">
      <c r="A96" s="98" t="s">
        <v>58</v>
      </c>
      <c r="B96" s="98" t="s">
        <v>71</v>
      </c>
      <c r="C96" s="105">
        <v>272.19481999263695</v>
      </c>
      <c r="D96" s="106">
        <v>265.86470789978489</v>
      </c>
      <c r="E96" s="106">
        <v>265.86470789978489</v>
      </c>
      <c r="F96" s="106">
        <v>246.87437162122885</v>
      </c>
      <c r="G96" s="106">
        <v>310.17549254974909</v>
      </c>
      <c r="H96" s="106">
        <v>329.16582882830511</v>
      </c>
      <c r="I96" s="106">
        <v>335.49594092115717</v>
      </c>
      <c r="J96" s="106">
        <v>335.49594092115717</v>
      </c>
      <c r="K96" s="106">
        <v>310.17549254974909</v>
      </c>
      <c r="L96" s="106">
        <v>310.17549254974909</v>
      </c>
      <c r="M96" s="106">
        <v>221.55392324982077</v>
      </c>
      <c r="N96" s="106">
        <v>221.55392324982077</v>
      </c>
      <c r="O96" s="107">
        <v>3424.5906422329435</v>
      </c>
    </row>
    <row r="97" spans="1:15" x14ac:dyDescent="0.25">
      <c r="A97" s="241"/>
      <c r="B97" s="108" t="s">
        <v>25</v>
      </c>
      <c r="C97" s="109">
        <v>124.04763209825941</v>
      </c>
      <c r="D97" s="97">
        <v>121.16280344481149</v>
      </c>
      <c r="E97" s="97">
        <v>121.16280344481149</v>
      </c>
      <c r="F97" s="97">
        <v>112.50831748446782</v>
      </c>
      <c r="G97" s="97">
        <v>141.3566040189468</v>
      </c>
      <c r="H97" s="97">
        <v>150.01108997929043</v>
      </c>
      <c r="I97" s="97">
        <v>152.89591863273836</v>
      </c>
      <c r="J97" s="97">
        <v>152.89591863273836</v>
      </c>
      <c r="K97" s="97">
        <v>141.3566040189468</v>
      </c>
      <c r="L97" s="97">
        <v>141.3566040189468</v>
      </c>
      <c r="M97" s="97">
        <v>100.96900287067628</v>
      </c>
      <c r="N97" s="97">
        <v>100.96900287067628</v>
      </c>
      <c r="O97" s="110">
        <v>1560.6923015153106</v>
      </c>
    </row>
    <row r="98" spans="1:15" x14ac:dyDescent="0.25">
      <c r="A98" s="241"/>
      <c r="B98" s="108" t="s">
        <v>26</v>
      </c>
      <c r="C98" s="109">
        <v>6.2334493949504974</v>
      </c>
      <c r="D98" s="97">
        <v>6.0884854555330437</v>
      </c>
      <c r="E98" s="97">
        <v>6.0884854555330437</v>
      </c>
      <c r="F98" s="97">
        <v>5.6535936372806841</v>
      </c>
      <c r="G98" s="97">
        <v>7.1032330314552183</v>
      </c>
      <c r="H98" s="97">
        <v>7.5381248497075788</v>
      </c>
      <c r="I98" s="97">
        <v>7.6830887891250317</v>
      </c>
      <c r="J98" s="97">
        <v>7.6830887891250317</v>
      </c>
      <c r="K98" s="97">
        <v>7.1032330314552183</v>
      </c>
      <c r="L98" s="97">
        <v>7.1032330314552183</v>
      </c>
      <c r="M98" s="97">
        <v>5.0737378796108699</v>
      </c>
      <c r="N98" s="97">
        <v>5.0737378796108699</v>
      </c>
      <c r="O98" s="110">
        <v>78.425491224842318</v>
      </c>
    </row>
    <row r="99" spans="1:15" x14ac:dyDescent="0.25">
      <c r="A99" s="241"/>
      <c r="B99" s="108" t="s">
        <v>27</v>
      </c>
      <c r="C99" s="109">
        <v>130.28108149320991</v>
      </c>
      <c r="D99" s="97">
        <v>127.25128890034453</v>
      </c>
      <c r="E99" s="97">
        <v>127.25128890034453</v>
      </c>
      <c r="F99" s="97">
        <v>118.1619111217485</v>
      </c>
      <c r="G99" s="97">
        <v>148.45983705040203</v>
      </c>
      <c r="H99" s="97">
        <v>157.549214828998</v>
      </c>
      <c r="I99" s="97">
        <v>160.57900742186339</v>
      </c>
      <c r="J99" s="97">
        <v>160.57900742186339</v>
      </c>
      <c r="K99" s="97">
        <v>148.45983705040203</v>
      </c>
      <c r="L99" s="97">
        <v>148.45983705040203</v>
      </c>
      <c r="M99" s="97">
        <v>106.04274075028715</v>
      </c>
      <c r="N99" s="97">
        <v>106.04274075028715</v>
      </c>
      <c r="O99" s="110">
        <v>1639.1177927401525</v>
      </c>
    </row>
    <row r="100" spans="1:15" x14ac:dyDescent="0.25">
      <c r="A100" s="241"/>
      <c r="B100" s="108" t="s">
        <v>50</v>
      </c>
      <c r="C100" s="109">
        <v>148.14718789437754</v>
      </c>
      <c r="D100" s="97">
        <v>144.7019044549734</v>
      </c>
      <c r="E100" s="97">
        <v>144.7019044549734</v>
      </c>
      <c r="F100" s="97">
        <v>134.36605413676102</v>
      </c>
      <c r="G100" s="97">
        <v>168.8188885308023</v>
      </c>
      <c r="H100" s="97">
        <v>179.15473884901468</v>
      </c>
      <c r="I100" s="97">
        <v>182.60002228841881</v>
      </c>
      <c r="J100" s="97">
        <v>182.60002228841881</v>
      </c>
      <c r="K100" s="97">
        <v>168.8188885308023</v>
      </c>
      <c r="L100" s="97">
        <v>168.8188885308023</v>
      </c>
      <c r="M100" s="97">
        <v>120.58492037914449</v>
      </c>
      <c r="N100" s="97">
        <v>120.58492037914449</v>
      </c>
      <c r="O100" s="110">
        <v>1863.8983407176333</v>
      </c>
    </row>
    <row r="101" spans="1:15" x14ac:dyDescent="0.25">
      <c r="A101" s="241"/>
      <c r="B101" s="108" t="s">
        <v>90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5">
      <c r="A102" s="241"/>
      <c r="B102" s="108" t="s">
        <v>92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5">
      <c r="A103" s="98" t="s">
        <v>82</v>
      </c>
      <c r="B103" s="98" t="s">
        <v>71</v>
      </c>
      <c r="C103" s="105">
        <v>993.82759857776739</v>
      </c>
      <c r="D103" s="106">
        <v>873.55546881357895</v>
      </c>
      <c r="E103" s="106">
        <v>968.50715020635937</v>
      </c>
      <c r="F103" s="106">
        <v>538.0595278924219</v>
      </c>
      <c r="G103" s="106">
        <v>727.9628906779825</v>
      </c>
      <c r="H103" s="106">
        <v>753.28333904939063</v>
      </c>
      <c r="I103" s="106">
        <v>860.89524462787494</v>
      </c>
      <c r="J103" s="106">
        <v>892.54580509213508</v>
      </c>
      <c r="K103" s="106">
        <v>867.22535672072695</v>
      </c>
      <c r="L103" s="106">
        <v>791.26401160650278</v>
      </c>
      <c r="M103" s="106">
        <v>993.82759857776739</v>
      </c>
      <c r="N103" s="106">
        <v>962.17703811350736</v>
      </c>
      <c r="O103" s="107">
        <v>10223.131029956014</v>
      </c>
    </row>
    <row r="104" spans="1:15" x14ac:dyDescent="0.25">
      <c r="A104" s="241"/>
      <c r="B104" s="108" t="s">
        <v>25</v>
      </c>
      <c r="C104" s="109">
        <v>452.91809859131922</v>
      </c>
      <c r="D104" s="97">
        <v>398.1063541758092</v>
      </c>
      <c r="E104" s="97">
        <v>441.37878397752775</v>
      </c>
      <c r="F104" s="97">
        <v>245.21043554307096</v>
      </c>
      <c r="G104" s="97">
        <v>331.75529514650771</v>
      </c>
      <c r="H104" s="97">
        <v>343.29460976029935</v>
      </c>
      <c r="I104" s="97">
        <v>392.33669686891346</v>
      </c>
      <c r="J104" s="97">
        <v>406.76084013615298</v>
      </c>
      <c r="K104" s="97">
        <v>395.22152552236133</v>
      </c>
      <c r="L104" s="97">
        <v>360.60358168098674</v>
      </c>
      <c r="M104" s="97">
        <v>452.91809859131922</v>
      </c>
      <c r="N104" s="97">
        <v>438.49395532407982</v>
      </c>
      <c r="O104" s="110">
        <v>4658.9982753183485</v>
      </c>
    </row>
    <row r="105" spans="1:15" x14ac:dyDescent="0.25">
      <c r="A105" s="241"/>
      <c r="B105" s="108" t="s">
        <v>26</v>
      </c>
      <c r="C105" s="109">
        <v>22.759338488540191</v>
      </c>
      <c r="D105" s="97">
        <v>20.005023639608574</v>
      </c>
      <c r="E105" s="97">
        <v>22.179482730870376</v>
      </c>
      <c r="F105" s="97">
        <v>12.321934850483542</v>
      </c>
      <c r="G105" s="97">
        <v>16.670853033007145</v>
      </c>
      <c r="H105" s="97">
        <v>17.25070879067696</v>
      </c>
      <c r="I105" s="97">
        <v>19.715095760773668</v>
      </c>
      <c r="J105" s="97">
        <v>20.439915457860934</v>
      </c>
      <c r="K105" s="97">
        <v>19.860059700191123</v>
      </c>
      <c r="L105" s="97">
        <v>18.120492427181681</v>
      </c>
      <c r="M105" s="97">
        <v>22.759338488540191</v>
      </c>
      <c r="N105" s="97">
        <v>22.034518791452921</v>
      </c>
      <c r="O105" s="110">
        <v>234.11676215918729</v>
      </c>
    </row>
    <row r="106" spans="1:15" x14ac:dyDescent="0.25">
      <c r="A106" s="241"/>
      <c r="B106" s="108" t="s">
        <v>27</v>
      </c>
      <c r="C106" s="109">
        <v>475.67743707985943</v>
      </c>
      <c r="D106" s="97">
        <v>418.11137781541777</v>
      </c>
      <c r="E106" s="97">
        <v>463.55826670839815</v>
      </c>
      <c r="F106" s="97">
        <v>257.53237039355452</v>
      </c>
      <c r="G106" s="97">
        <v>348.42614817951483</v>
      </c>
      <c r="H106" s="97">
        <v>360.54531855097633</v>
      </c>
      <c r="I106" s="97">
        <v>412.05179262968716</v>
      </c>
      <c r="J106" s="97">
        <v>427.20075559401391</v>
      </c>
      <c r="K106" s="97">
        <v>415.08158522255246</v>
      </c>
      <c r="L106" s="97">
        <v>378.7240741081684</v>
      </c>
      <c r="M106" s="97">
        <v>475.67743707985943</v>
      </c>
      <c r="N106" s="97">
        <v>460.52847411553273</v>
      </c>
      <c r="O106" s="110">
        <v>4893.1150374775352</v>
      </c>
    </row>
    <row r="107" spans="1:15" x14ac:dyDescent="0.25">
      <c r="A107" s="241"/>
      <c r="B107" s="108" t="s">
        <v>50</v>
      </c>
      <c r="C107" s="109">
        <v>540.90949998644817</v>
      </c>
      <c r="D107" s="97">
        <v>475.44911463776975</v>
      </c>
      <c r="E107" s="97">
        <v>527.12836622883162</v>
      </c>
      <c r="F107" s="97">
        <v>292.84909234935094</v>
      </c>
      <c r="G107" s="97">
        <v>396.20759553147479</v>
      </c>
      <c r="H107" s="97">
        <v>409.98872928909128</v>
      </c>
      <c r="I107" s="97">
        <v>468.55854775896148</v>
      </c>
      <c r="J107" s="97">
        <v>485.7849649559821</v>
      </c>
      <c r="K107" s="97">
        <v>472.00383119836562</v>
      </c>
      <c r="L107" s="97">
        <v>430.66042992551604</v>
      </c>
      <c r="M107" s="97">
        <v>540.90949998644817</v>
      </c>
      <c r="N107" s="97">
        <v>523.68308278942754</v>
      </c>
      <c r="O107" s="110">
        <v>5564.1327546376679</v>
      </c>
    </row>
    <row r="108" spans="1:15" x14ac:dyDescent="0.25">
      <c r="A108" s="241"/>
      <c r="B108" s="108" t="s">
        <v>90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5">
      <c r="A109" s="241"/>
      <c r="B109" s="108" t="s">
        <v>92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5">
      <c r="A110" s="98" t="s">
        <v>86</v>
      </c>
      <c r="B110" s="98" t="s">
        <v>71</v>
      </c>
      <c r="C110" s="105">
        <v>240.54425952837684</v>
      </c>
      <c r="D110" s="106">
        <v>272.19481999263695</v>
      </c>
      <c r="E110" s="106">
        <v>284.85504417834096</v>
      </c>
      <c r="F110" s="106">
        <v>139.26246604274448</v>
      </c>
      <c r="G110" s="106">
        <v>196.23347487841266</v>
      </c>
      <c r="H110" s="106">
        <v>278.52493208548896</v>
      </c>
      <c r="I110" s="106">
        <v>297.51526836404503</v>
      </c>
      <c r="J110" s="106">
        <v>316.5056046426011</v>
      </c>
      <c r="K110" s="106">
        <v>284.85504417834096</v>
      </c>
      <c r="L110" s="106">
        <v>234.21414743552481</v>
      </c>
      <c r="M110" s="106">
        <v>240.54425952837684</v>
      </c>
      <c r="N110" s="106">
        <v>240.54425952837684</v>
      </c>
      <c r="O110" s="107">
        <v>3025.7935803832661</v>
      </c>
    </row>
    <row r="111" spans="1:15" x14ac:dyDescent="0.25">
      <c r="A111" s="241"/>
      <c r="B111" s="108" t="s">
        <v>25</v>
      </c>
      <c r="C111" s="109">
        <v>109.62348883101996</v>
      </c>
      <c r="D111" s="97">
        <v>124.04763209825941</v>
      </c>
      <c r="E111" s="97">
        <v>129.81728940515518</v>
      </c>
      <c r="F111" s="97">
        <v>63.466230375853655</v>
      </c>
      <c r="G111" s="97">
        <v>89.429688256884674</v>
      </c>
      <c r="H111" s="97">
        <v>126.93246075170731</v>
      </c>
      <c r="I111" s="97">
        <v>135.58694671205097</v>
      </c>
      <c r="J111" s="97">
        <v>144.24143267239467</v>
      </c>
      <c r="K111" s="97">
        <v>129.81728940515518</v>
      </c>
      <c r="L111" s="97">
        <v>106.73866017757206</v>
      </c>
      <c r="M111" s="97">
        <v>109.62348883101996</v>
      </c>
      <c r="N111" s="97">
        <v>109.62348883101996</v>
      </c>
      <c r="O111" s="110">
        <v>1378.9480963480933</v>
      </c>
    </row>
    <row r="112" spans="1:15" x14ac:dyDescent="0.25">
      <c r="A112" s="241"/>
      <c r="B112" s="108" t="s">
        <v>26</v>
      </c>
      <c r="C112" s="109">
        <v>5.5086296978632303</v>
      </c>
      <c r="D112" s="97">
        <v>6.2334493949504974</v>
      </c>
      <c r="E112" s="97">
        <v>6.5233772737854041</v>
      </c>
      <c r="F112" s="97">
        <v>3.1892066671839756</v>
      </c>
      <c r="G112" s="97">
        <v>4.4938821219410565</v>
      </c>
      <c r="H112" s="97">
        <v>6.3784133343679512</v>
      </c>
      <c r="I112" s="97">
        <v>6.8133051526203108</v>
      </c>
      <c r="J112" s="97">
        <v>7.2481969708726712</v>
      </c>
      <c r="K112" s="97">
        <v>6.5233772737854041</v>
      </c>
      <c r="L112" s="97">
        <v>5.3636657584457774</v>
      </c>
      <c r="M112" s="97">
        <v>5.5086296978632303</v>
      </c>
      <c r="N112" s="97">
        <v>5.5086296978632303</v>
      </c>
      <c r="O112" s="110">
        <v>69.292763041542727</v>
      </c>
    </row>
    <row r="113" spans="1:15" x14ac:dyDescent="0.25">
      <c r="A113" s="241"/>
      <c r="B113" s="108" t="s">
        <v>27</v>
      </c>
      <c r="C113" s="109">
        <v>115.13211852888318</v>
      </c>
      <c r="D113" s="97">
        <v>130.28108149320991</v>
      </c>
      <c r="E113" s="97">
        <v>136.34066667894058</v>
      </c>
      <c r="F113" s="97">
        <v>66.655437043037637</v>
      </c>
      <c r="G113" s="97">
        <v>93.92357037882573</v>
      </c>
      <c r="H113" s="97">
        <v>133.31087408607527</v>
      </c>
      <c r="I113" s="97">
        <v>142.40025186467128</v>
      </c>
      <c r="J113" s="97">
        <v>151.48962964326734</v>
      </c>
      <c r="K113" s="97">
        <v>136.34066667894058</v>
      </c>
      <c r="L113" s="97">
        <v>112.10232593601783</v>
      </c>
      <c r="M113" s="97">
        <v>115.13211852888318</v>
      </c>
      <c r="N113" s="97">
        <v>115.13211852888318</v>
      </c>
      <c r="O113" s="110">
        <v>1448.2408593896359</v>
      </c>
    </row>
    <row r="114" spans="1:15" x14ac:dyDescent="0.25">
      <c r="A114" s="241"/>
      <c r="B114" s="108" t="s">
        <v>50</v>
      </c>
      <c r="C114" s="109">
        <v>130.92077069735689</v>
      </c>
      <c r="D114" s="97">
        <v>148.14718789437754</v>
      </c>
      <c r="E114" s="97">
        <v>155.03775477318578</v>
      </c>
      <c r="F114" s="97">
        <v>75.796235666890823</v>
      </c>
      <c r="G114" s="97">
        <v>106.80378662152799</v>
      </c>
      <c r="H114" s="97">
        <v>151.59247133378165</v>
      </c>
      <c r="I114" s="97">
        <v>161.92832165199405</v>
      </c>
      <c r="J114" s="97">
        <v>172.26417197020643</v>
      </c>
      <c r="K114" s="97">
        <v>155.03775477318578</v>
      </c>
      <c r="L114" s="97">
        <v>127.47548725795275</v>
      </c>
      <c r="M114" s="97">
        <v>130.92077069735689</v>
      </c>
      <c r="N114" s="97">
        <v>130.92077069735689</v>
      </c>
      <c r="O114" s="110">
        <v>1646.8454840351733</v>
      </c>
    </row>
    <row r="115" spans="1:15" x14ac:dyDescent="0.25">
      <c r="A115" s="241"/>
      <c r="B115" s="108" t="s">
        <v>90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5">
      <c r="A116" s="241"/>
      <c r="B116" s="108" t="s">
        <v>92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5">
      <c r="A117" s="98" t="s">
        <v>72</v>
      </c>
      <c r="B117" s="99"/>
      <c r="C117" s="105">
        <v>50394.022371194937</v>
      </c>
      <c r="D117" s="106">
        <v>51286.568176287074</v>
      </c>
      <c r="E117" s="106">
        <v>52609.561603693146</v>
      </c>
      <c r="F117" s="106">
        <v>41468.564320273596</v>
      </c>
      <c r="G117" s="106">
        <v>51046.023916758699</v>
      </c>
      <c r="H117" s="106">
        <v>59762.588268615931</v>
      </c>
      <c r="I117" s="106">
        <v>62642.789270863606</v>
      </c>
      <c r="J117" s="106">
        <v>65940.777671239513</v>
      </c>
      <c r="K117" s="106">
        <v>61338.786179736097</v>
      </c>
      <c r="L117" s="106">
        <v>57572.369484489143</v>
      </c>
      <c r="M117" s="106">
        <v>50197.788896316531</v>
      </c>
      <c r="N117" s="106">
        <v>49121.669840531686</v>
      </c>
      <c r="O117" s="107">
        <v>653381.50999999989</v>
      </c>
    </row>
    <row r="118" spans="1:15" ht="13" x14ac:dyDescent="0.3">
      <c r="A118" s="98" t="s">
        <v>28</v>
      </c>
      <c r="B118" s="99"/>
      <c r="C118" s="248">
        <v>22966.120910098674</v>
      </c>
      <c r="D118" s="249">
        <v>23372.881750234832</v>
      </c>
      <c r="E118" s="249">
        <v>23975.810938805444</v>
      </c>
      <c r="F118" s="249">
        <v>18898.512508737153</v>
      </c>
      <c r="G118" s="249">
        <v>23263.258261403811</v>
      </c>
      <c r="H118" s="249">
        <v>27235.667317201562</v>
      </c>
      <c r="I118" s="249">
        <v>28548.264354520354</v>
      </c>
      <c r="J118" s="249">
        <v>30051.260082966706</v>
      </c>
      <c r="K118" s="249">
        <v>27953.989651910084</v>
      </c>
      <c r="L118" s="249">
        <v>26237.51660310859</v>
      </c>
      <c r="M118" s="249">
        <v>22876.6912218418</v>
      </c>
      <c r="N118" s="249">
        <v>22386.270350755651</v>
      </c>
      <c r="O118" s="250">
        <v>297766.24395158468</v>
      </c>
    </row>
    <row r="119" spans="1:15" ht="13" x14ac:dyDescent="0.3">
      <c r="A119" s="98" t="s">
        <v>29</v>
      </c>
      <c r="B119" s="99"/>
      <c r="C119" s="248">
        <v>1154.0579217023464</v>
      </c>
      <c r="D119" s="249">
        <v>1174.4978371602076</v>
      </c>
      <c r="E119" s="249">
        <v>1204.7953004984556</v>
      </c>
      <c r="F119" s="249">
        <v>949.65876712373745</v>
      </c>
      <c r="G119" s="249">
        <v>1168.9892074623447</v>
      </c>
      <c r="H119" s="249">
        <v>1368.6045520401779</v>
      </c>
      <c r="I119" s="249">
        <v>1434.5631444751195</v>
      </c>
      <c r="J119" s="249">
        <v>1510.0893569116124</v>
      </c>
      <c r="K119" s="249">
        <v>1404.7005729551238</v>
      </c>
      <c r="L119" s="249">
        <v>1318.4470290017389</v>
      </c>
      <c r="M119" s="249">
        <v>1149.5640395804053</v>
      </c>
      <c r="N119" s="249">
        <v>1124.9201698794384</v>
      </c>
      <c r="O119" s="250">
        <v>14962.887898790706</v>
      </c>
    </row>
    <row r="120" spans="1:15" ht="13" x14ac:dyDescent="0.3">
      <c r="A120" s="98" t="s">
        <v>30</v>
      </c>
      <c r="B120" s="99"/>
      <c r="C120" s="248">
        <v>24120.178831801022</v>
      </c>
      <c r="D120" s="249">
        <v>24547.379587395033</v>
      </c>
      <c r="E120" s="249">
        <v>25180.606239303896</v>
      </c>
      <c r="F120" s="249">
        <v>19848.171275860885</v>
      </c>
      <c r="G120" s="249">
        <v>24432.247468866153</v>
      </c>
      <c r="H120" s="249">
        <v>28604.27186924174</v>
      </c>
      <c r="I120" s="249">
        <v>29982.827498995473</v>
      </c>
      <c r="J120" s="249">
        <v>31561.349439878319</v>
      </c>
      <c r="K120" s="249">
        <v>29358.690224865211</v>
      </c>
      <c r="L120" s="249">
        <v>27555.963632110332</v>
      </c>
      <c r="M120" s="249">
        <v>24026.255261422197</v>
      </c>
      <c r="N120" s="249">
        <v>23511.190520635093</v>
      </c>
      <c r="O120" s="250">
        <v>312729.13185037539</v>
      </c>
    </row>
    <row r="121" spans="1:15" x14ac:dyDescent="0.25">
      <c r="A121" s="98" t="s">
        <v>62</v>
      </c>
      <c r="B121" s="99"/>
      <c r="C121" s="105">
        <v>27427.901461096266</v>
      </c>
      <c r="D121" s="106">
        <v>27913.686426052253</v>
      </c>
      <c r="E121" s="106">
        <v>28633.750664887713</v>
      </c>
      <c r="F121" s="106">
        <v>22570.051811536443</v>
      </c>
      <c r="G121" s="106">
        <v>27782.765655354891</v>
      </c>
      <c r="H121" s="106">
        <v>32526.920951414377</v>
      </c>
      <c r="I121" s="106">
        <v>34094.52491634326</v>
      </c>
      <c r="J121" s="106">
        <v>35889.517588272807</v>
      </c>
      <c r="K121" s="106">
        <v>33384.796527826002</v>
      </c>
      <c r="L121" s="106">
        <v>31334.85288138055</v>
      </c>
      <c r="M121" s="106">
        <v>27321.097674474739</v>
      </c>
      <c r="N121" s="106">
        <v>26735.399489776035</v>
      </c>
      <c r="O121" s="107">
        <v>355615.26604841533</v>
      </c>
    </row>
    <row r="122" spans="1:15" x14ac:dyDescent="0.25">
      <c r="A122" s="98" t="s">
        <v>91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5">
      <c r="A123" s="111" t="s">
        <v>93</v>
      </c>
      <c r="B123" s="242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5">
      <c r="L125" s="244"/>
      <c r="O125" s="244"/>
    </row>
    <row r="126" spans="1:15" x14ac:dyDescent="0.25">
      <c r="L126" s="97"/>
      <c r="O126" s="97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Normal="100" zoomScaleSheetLayoutView="100" workbookViewId="0">
      <selection activeCell="J3" sqref="J3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3" customWidth="1"/>
    <col min="5" max="5" width="24.26953125" style="1" customWidth="1"/>
    <col min="6" max="6" width="7.7265625" style="163" customWidth="1"/>
    <col min="7" max="7" width="6.7265625" style="163" customWidth="1"/>
    <col min="8" max="8" width="11.1796875" style="163" bestFit="1" customWidth="1"/>
    <col min="9" max="9" width="11.26953125" style="164" customWidth="1"/>
    <col min="10" max="10" width="13.7265625" style="163" customWidth="1"/>
    <col min="11" max="11" width="13.54296875" style="165" customWidth="1"/>
    <col min="12" max="12" width="14.7265625" style="163" customWidth="1"/>
    <col min="13" max="13" width="13.453125" style="126" bestFit="1" customWidth="1"/>
    <col min="14" max="17" width="13.453125" style="126" customWidth="1"/>
    <col min="18" max="18" width="15.54296875" style="239" customWidth="1"/>
    <col min="19" max="16384" width="8.7265625" style="1"/>
  </cols>
  <sheetData>
    <row r="1" spans="2:18" ht="21.5" x14ac:dyDescent="0.3">
      <c r="B1" s="10" t="s">
        <v>100</v>
      </c>
      <c r="C1" s="115"/>
      <c r="D1" s="116"/>
      <c r="E1" s="115"/>
      <c r="F1" s="117" t="s">
        <v>12</v>
      </c>
      <c r="G1" s="118"/>
      <c r="H1" s="119"/>
      <c r="I1" s="120"/>
      <c r="J1" s="121" t="str">
        <f>"True-Up ARR
(CY"&amp;R1&amp;")"</f>
        <v>True-Up ARR
(CY2019)</v>
      </c>
      <c r="K1" s="121" t="str">
        <f>"Projected ARR
(Jan'"&amp;RIGHT(R$1,2)&amp;" - Dec'"&amp;RIGHT(R$1,2)&amp;")"</f>
        <v>Projected ARR
(Jan'19 - Dec'19)</v>
      </c>
      <c r="L1" s="122" t="s">
        <v>46</v>
      </c>
      <c r="M1" s="123"/>
      <c r="N1" s="52"/>
      <c r="O1" s="52"/>
      <c r="P1" s="52"/>
      <c r="Q1" s="52"/>
      <c r="R1" s="124">
        <v>2019</v>
      </c>
    </row>
    <row r="2" spans="2:18" ht="13" x14ac:dyDescent="0.3">
      <c r="B2" s="10" t="s">
        <v>53</v>
      </c>
      <c r="C2" s="115"/>
      <c r="D2" s="116"/>
      <c r="E2" s="115"/>
      <c r="F2" s="125">
        <v>1</v>
      </c>
      <c r="G2" s="252"/>
      <c r="H2" s="252"/>
      <c r="I2" s="127" t="s">
        <v>6</v>
      </c>
      <c r="J2" s="128">
        <v>653381.51</v>
      </c>
      <c r="K2" s="128">
        <v>347036.51028429903</v>
      </c>
      <c r="L2" s="129"/>
      <c r="M2" s="130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CY2019 SPP Network Transmission Service</v>
      </c>
      <c r="C3" s="115"/>
      <c r="D3" s="116"/>
      <c r="E3" s="115"/>
      <c r="F3" s="125"/>
      <c r="G3" s="252"/>
      <c r="H3" s="252"/>
      <c r="I3" s="127" t="s">
        <v>10</v>
      </c>
      <c r="J3" s="131">
        <v>6.3301120928520218</v>
      </c>
      <c r="K3" s="131">
        <v>3.4452834394041285</v>
      </c>
      <c r="L3" s="132" t="str">
        <f>"Inv. Aug-Dec'"&amp;RIGHT(R1,2)</f>
        <v>Inv. Aug-Dec'19</v>
      </c>
      <c r="M3" s="130"/>
      <c r="N3" s="52"/>
      <c r="O3" s="52"/>
      <c r="P3" s="52"/>
      <c r="Q3" s="52"/>
      <c r="R3" s="1"/>
    </row>
    <row r="4" spans="2:18" ht="13" x14ac:dyDescent="0.3">
      <c r="B4" s="9"/>
      <c r="C4" s="115"/>
      <c r="D4" s="116"/>
      <c r="E4" s="115"/>
      <c r="F4" s="125"/>
      <c r="G4" s="126"/>
      <c r="H4" s="126"/>
      <c r="I4" s="51"/>
      <c r="J4" s="126"/>
      <c r="K4" s="133"/>
      <c r="L4" s="126"/>
      <c r="M4" s="134"/>
      <c r="R4" s="1"/>
    </row>
    <row r="5" spans="2:18" ht="13" x14ac:dyDescent="0.3">
      <c r="B5" s="9"/>
      <c r="C5" s="115"/>
      <c r="D5" s="116"/>
      <c r="E5" s="115"/>
      <c r="F5" s="125"/>
      <c r="G5" s="126"/>
      <c r="H5" s="126"/>
      <c r="I5" s="127"/>
      <c r="J5" s="126"/>
      <c r="K5" s="128">
        <v>347036.51028429903</v>
      </c>
      <c r="L5" s="129"/>
      <c r="M5" s="135"/>
      <c r="N5" s="136"/>
      <c r="O5" s="136"/>
      <c r="P5" s="136"/>
      <c r="Q5" s="136"/>
      <c r="R5" s="137"/>
    </row>
    <row r="6" spans="2:18" ht="13" x14ac:dyDescent="0.3">
      <c r="B6" s="10" t="s">
        <v>23</v>
      </c>
      <c r="D6" s="116"/>
      <c r="E6" s="115"/>
      <c r="F6" s="138"/>
      <c r="G6" s="139"/>
      <c r="H6" s="140"/>
      <c r="I6" s="141"/>
      <c r="J6" s="142"/>
      <c r="K6" s="131">
        <v>3.4452834394041285</v>
      </c>
      <c r="L6" s="243" t="str">
        <f>"Inv. Jan-Jul'"&amp;RIGHT(R4,2)</f>
        <v>Inv. Jan-Jul'</v>
      </c>
      <c r="M6" s="135"/>
      <c r="N6" s="136"/>
      <c r="O6" s="136"/>
      <c r="P6" s="136"/>
      <c r="Q6" s="136"/>
      <c r="R6" s="1"/>
    </row>
    <row r="7" spans="2:18" ht="13" x14ac:dyDescent="0.3">
      <c r="B7" s="9" t="s">
        <v>78</v>
      </c>
      <c r="D7" s="116"/>
      <c r="E7" s="115"/>
      <c r="F7" s="125"/>
      <c r="G7" s="253"/>
      <c r="H7" s="252"/>
      <c r="I7" s="127"/>
      <c r="J7" s="143"/>
      <c r="K7" s="129"/>
      <c r="L7" s="129"/>
      <c r="M7" s="144"/>
      <c r="N7" s="145"/>
      <c r="O7" s="145"/>
      <c r="P7" s="145"/>
      <c r="Q7" s="145"/>
      <c r="R7" s="1"/>
    </row>
    <row r="8" spans="2:18" ht="13" x14ac:dyDescent="0.3">
      <c r="B8" s="10"/>
      <c r="C8" s="115"/>
      <c r="D8" s="116"/>
      <c r="E8" s="115"/>
      <c r="F8" s="125"/>
      <c r="G8" s="252"/>
      <c r="H8" s="252"/>
      <c r="I8" s="127"/>
      <c r="J8" s="146"/>
      <c r="K8" s="129"/>
      <c r="L8" s="147"/>
      <c r="M8" s="130"/>
      <c r="N8" s="52"/>
      <c r="O8" s="52"/>
      <c r="P8" s="52"/>
      <c r="Q8" s="52"/>
      <c r="R8" s="137"/>
    </row>
    <row r="9" spans="2:18" ht="13" x14ac:dyDescent="0.3">
      <c r="B9" s="148"/>
      <c r="C9" s="115"/>
      <c r="D9" s="116"/>
      <c r="E9" s="115"/>
      <c r="F9" s="125"/>
      <c r="G9" s="126"/>
      <c r="H9" s="126"/>
      <c r="I9" s="149"/>
      <c r="J9" s="150"/>
      <c r="K9" s="151"/>
      <c r="L9" s="152"/>
      <c r="M9" s="130"/>
      <c r="N9" s="52"/>
      <c r="O9" s="52"/>
      <c r="P9" s="52"/>
      <c r="Q9" s="52"/>
      <c r="R9" s="137"/>
    </row>
    <row r="10" spans="2:18" ht="13.5" thickBot="1" x14ac:dyDescent="0.35">
      <c r="B10" s="9"/>
      <c r="D10" s="1"/>
      <c r="E10" s="153"/>
      <c r="F10" s="154"/>
      <c r="G10" s="155"/>
      <c r="H10" s="156"/>
      <c r="I10" s="157"/>
      <c r="J10" s="158"/>
      <c r="K10" s="158"/>
      <c r="L10" s="159"/>
      <c r="M10" s="160"/>
      <c r="R10" s="161"/>
    </row>
    <row r="11" spans="2:18" ht="13" x14ac:dyDescent="0.3">
      <c r="B11" s="162" t="s">
        <v>83</v>
      </c>
      <c r="E11" s="153"/>
      <c r="L11" s="166"/>
      <c r="M11" s="1"/>
      <c r="N11" s="1"/>
      <c r="O11" s="1"/>
      <c r="P11" s="1"/>
      <c r="Q11" s="1"/>
      <c r="R11" s="137"/>
    </row>
    <row r="12" spans="2:18" x14ac:dyDescent="0.25">
      <c r="E12" s="153"/>
      <c r="L12" s="166"/>
      <c r="R12" s="167" t="s">
        <v>61</v>
      </c>
    </row>
    <row r="13" spans="2:18" ht="13" x14ac:dyDescent="0.3">
      <c r="E13" s="153"/>
      <c r="F13" s="168"/>
      <c r="G13" s="169"/>
      <c r="H13" s="169"/>
      <c r="I13" s="170" t="s">
        <v>59</v>
      </c>
      <c r="J13" s="171">
        <f t="shared" ref="J13:R13" si="0">SUM(J56:J211)</f>
        <v>166792.12353455814</v>
      </c>
      <c r="K13" s="171">
        <f t="shared" si="0"/>
        <v>90779.773344859321</v>
      </c>
      <c r="L13" s="172">
        <f t="shared" si="0"/>
        <v>76012.350189698627</v>
      </c>
      <c r="M13" s="173">
        <f t="shared" si="0"/>
        <v>3819.6548397104802</v>
      </c>
      <c r="N13" s="171">
        <f t="shared" si="0"/>
        <v>79832.005029408945</v>
      </c>
      <c r="O13" s="171">
        <f>SUM(O56:O211)</f>
        <v>0</v>
      </c>
      <c r="P13" s="171">
        <f t="shared" si="0"/>
        <v>0</v>
      </c>
      <c r="Q13" s="171">
        <v>0</v>
      </c>
      <c r="R13" s="172">
        <f t="shared" si="0"/>
        <v>79832.005029408945</v>
      </c>
    </row>
    <row r="14" spans="2:18" ht="13" x14ac:dyDescent="0.3">
      <c r="E14" s="153"/>
      <c r="F14" s="174"/>
      <c r="G14" s="174"/>
      <c r="H14" s="174"/>
      <c r="I14" s="175" t="s">
        <v>60</v>
      </c>
      <c r="J14" s="171">
        <f>SUM(J20:J211)</f>
        <v>653381.51000000071</v>
      </c>
      <c r="K14" s="171">
        <f>SUM(K20:K211)</f>
        <v>355615.26604841521</v>
      </c>
      <c r="L14" s="172">
        <f>SUM(L20:L211)</f>
        <v>297766.24395158404</v>
      </c>
      <c r="M14" s="240">
        <v>14962.887898790708</v>
      </c>
      <c r="N14" s="171">
        <f>SUM(N20:N211)</f>
        <v>312729.13185037527</v>
      </c>
      <c r="O14" s="171">
        <f>SUM(O20:O211)</f>
        <v>0</v>
      </c>
      <c r="P14" s="171">
        <f>SUM(P20:P211)</f>
        <v>0</v>
      </c>
      <c r="Q14" s="171">
        <v>0</v>
      </c>
      <c r="R14" s="172">
        <f>SUM(R20:R211)</f>
        <v>312729.13185037527</v>
      </c>
    </row>
    <row r="15" spans="2:18" x14ac:dyDescent="0.25">
      <c r="B15" s="176" t="s">
        <v>85</v>
      </c>
      <c r="E15" s="153"/>
      <c r="J15" s="164"/>
      <c r="L15" s="166"/>
      <c r="M15" s="177"/>
      <c r="N15" s="177"/>
      <c r="O15" s="177"/>
      <c r="P15" s="177"/>
      <c r="Q15" s="177"/>
      <c r="R15" s="178" t="s">
        <v>20</v>
      </c>
    </row>
    <row r="16" spans="2:18" x14ac:dyDescent="0.25">
      <c r="B16" s="179" t="str">
        <f>"** Actual Trued-Up CY"&amp;R1&amp;" Charge reflects "&amp;R1&amp;" True-UP Rate x MW"</f>
        <v>** Actual Trued-Up CY2019 Charge reflects 2019 True-UP Rate x MW</v>
      </c>
      <c r="E16" s="153"/>
      <c r="F16" s="126"/>
      <c r="G16" s="5"/>
      <c r="J16" s="180"/>
      <c r="L16" s="181" t="s">
        <v>11</v>
      </c>
      <c r="M16" s="177"/>
      <c r="N16" s="177"/>
      <c r="O16" s="177"/>
      <c r="P16" s="177"/>
      <c r="Q16" s="177"/>
      <c r="R16" s="182"/>
    </row>
    <row r="17" spans="1:18" x14ac:dyDescent="0.25">
      <c r="B17" s="183" t="s">
        <v>63</v>
      </c>
      <c r="E17" s="153"/>
      <c r="I17" s="184"/>
      <c r="J17" s="185"/>
      <c r="K17" s="186"/>
      <c r="L17" s="186"/>
      <c r="M17" s="186"/>
      <c r="N17" s="186"/>
      <c r="O17" s="186"/>
      <c r="P17" s="186"/>
      <c r="Q17" s="186"/>
      <c r="R17" s="187"/>
    </row>
    <row r="18" spans="1:18" ht="3.65" customHeight="1" x14ac:dyDescent="0.25">
      <c r="I18" s="188"/>
      <c r="J18" s="185"/>
      <c r="K18" s="188"/>
      <c r="L18" s="188"/>
      <c r="M18" s="189"/>
      <c r="N18" s="189"/>
      <c r="O18" s="189"/>
      <c r="P18" s="189"/>
      <c r="Q18" s="189"/>
      <c r="R18" s="190"/>
    </row>
    <row r="19" spans="1:18" ht="38.25" customHeight="1" x14ac:dyDescent="0.25">
      <c r="B19" s="191" t="s">
        <v>54</v>
      </c>
      <c r="C19" s="192" t="s">
        <v>4</v>
      </c>
      <c r="D19" s="192" t="s">
        <v>5</v>
      </c>
      <c r="E19" s="193" t="s">
        <v>0</v>
      </c>
      <c r="F19" s="194" t="s">
        <v>12</v>
      </c>
      <c r="G19" s="195" t="s">
        <v>1</v>
      </c>
      <c r="H19" s="196" t="s">
        <v>49</v>
      </c>
      <c r="I19" s="196" t="s">
        <v>47</v>
      </c>
      <c r="J19" s="197" t="str">
        <f>"True-Up Charge"</f>
        <v>True-Up Charge</v>
      </c>
      <c r="K19" s="197" t="s">
        <v>48</v>
      </c>
      <c r="L19" s="198" t="s">
        <v>3</v>
      </c>
      <c r="M19" s="199" t="s">
        <v>7</v>
      </c>
      <c r="N19" s="200" t="s">
        <v>101</v>
      </c>
      <c r="O19" s="200" t="s">
        <v>87</v>
      </c>
      <c r="P19" s="200" t="s">
        <v>88</v>
      </c>
      <c r="Q19" s="200" t="s">
        <v>89</v>
      </c>
      <c r="R19" s="201" t="s">
        <v>2</v>
      </c>
    </row>
    <row r="20" spans="1:18" s="52" customFormat="1" ht="12.75" customHeight="1" x14ac:dyDescent="0.25">
      <c r="A20" s="126">
        <v>1</v>
      </c>
      <c r="B20" s="202">
        <f>DATE($R$1,A20,1)</f>
        <v>43466</v>
      </c>
      <c r="C20" s="203">
        <v>43501</v>
      </c>
      <c r="D20" s="203">
        <v>43516</v>
      </c>
      <c r="E20" s="204" t="s">
        <v>21</v>
      </c>
      <c r="F20" s="126">
        <v>9</v>
      </c>
      <c r="G20" s="205">
        <v>2561</v>
      </c>
      <c r="H20" s="206">
        <f t="shared" ref="H20:H26" si="1">+$K$6</f>
        <v>3.4452834394041285</v>
      </c>
      <c r="I20" s="206">
        <f t="shared" ref="I20:I63" si="2">$J$3</f>
        <v>6.3301120928520218</v>
      </c>
      <c r="J20" s="207">
        <f t="shared" ref="J20:J108" si="3">+$G20*I20</f>
        <v>16211.417069794028</v>
      </c>
      <c r="K20" s="208">
        <f>+$G20*H20</f>
        <v>8823.3708883139734</v>
      </c>
      <c r="L20" s="209">
        <f t="shared" ref="L20:L34" si="4">+J20-K20</f>
        <v>7388.0461814800547</v>
      </c>
      <c r="M20" s="210">
        <f>G20/$G$212*$M$14</f>
        <v>371.25264884809826</v>
      </c>
      <c r="N20" s="211">
        <f>SUM(L20:M20)</f>
        <v>7759.2988303281527</v>
      </c>
      <c r="O20" s="210">
        <f>+$P$3</f>
        <v>0</v>
      </c>
      <c r="P20" s="210">
        <f>+G20*O20</f>
        <v>0</v>
      </c>
      <c r="Q20" s="210">
        <v>0</v>
      </c>
      <c r="R20" s="211">
        <f>+N20-Q20</f>
        <v>7759.2988303281527</v>
      </c>
    </row>
    <row r="21" spans="1:18" x14ac:dyDescent="0.25">
      <c r="A21" s="163">
        <v>2</v>
      </c>
      <c r="B21" s="202">
        <f t="shared" ref="B21:B108" si="5">DATE($R$1,A21,1)</f>
        <v>43497</v>
      </c>
      <c r="C21" s="203">
        <v>43529</v>
      </c>
      <c r="D21" s="203">
        <v>43544</v>
      </c>
      <c r="E21" s="212" t="s">
        <v>21</v>
      </c>
      <c r="F21" s="163">
        <v>9</v>
      </c>
      <c r="G21" s="205">
        <v>2792</v>
      </c>
      <c r="H21" s="206">
        <f t="shared" si="1"/>
        <v>3.4452834394041285</v>
      </c>
      <c r="I21" s="206">
        <f t="shared" si="2"/>
        <v>6.3301120928520218</v>
      </c>
      <c r="J21" s="207">
        <f t="shared" si="3"/>
        <v>17673.672963242843</v>
      </c>
      <c r="K21" s="208">
        <f t="shared" ref="K21:K33" si="6">+$G21*H21</f>
        <v>9619.2313628163265</v>
      </c>
      <c r="L21" s="209">
        <f t="shared" si="4"/>
        <v>8054.4416004265167</v>
      </c>
      <c r="M21" s="210">
        <f t="shared" ref="M21:M84" si="7">G21/$G$212*$M$14</f>
        <v>404.73931885352994</v>
      </c>
      <c r="N21" s="211">
        <f t="shared" ref="N21:N84" si="8">SUM(L21:M21)</f>
        <v>8459.1809192800465</v>
      </c>
      <c r="O21" s="210">
        <f t="shared" ref="O21:O84" si="9">+$P$3</f>
        <v>0</v>
      </c>
      <c r="P21" s="210">
        <f t="shared" ref="P21:P84" si="10">+G21*O21</f>
        <v>0</v>
      </c>
      <c r="Q21" s="210">
        <v>0</v>
      </c>
      <c r="R21" s="211">
        <f t="shared" ref="R21:R84" si="11">+N21-Q21</f>
        <v>8459.1809192800465</v>
      </c>
    </row>
    <row r="22" spans="1:18" x14ac:dyDescent="0.25">
      <c r="A22" s="163">
        <v>3</v>
      </c>
      <c r="B22" s="202">
        <f t="shared" si="5"/>
        <v>43525</v>
      </c>
      <c r="C22" s="203">
        <v>43558</v>
      </c>
      <c r="D22" s="203">
        <v>43573</v>
      </c>
      <c r="E22" s="212" t="s">
        <v>21</v>
      </c>
      <c r="F22" s="163">
        <v>9</v>
      </c>
      <c r="G22" s="205">
        <v>2805</v>
      </c>
      <c r="H22" s="206">
        <f t="shared" si="1"/>
        <v>3.4452834394041285</v>
      </c>
      <c r="I22" s="206">
        <f t="shared" si="2"/>
        <v>6.3301120928520218</v>
      </c>
      <c r="J22" s="207">
        <f t="shared" si="3"/>
        <v>17755.96442044992</v>
      </c>
      <c r="K22" s="208">
        <f t="shared" si="6"/>
        <v>9664.0200475285801</v>
      </c>
      <c r="L22" s="209">
        <f t="shared" si="4"/>
        <v>8091.9443729213399</v>
      </c>
      <c r="M22" s="210">
        <f t="shared" si="7"/>
        <v>406.62385006595684</v>
      </c>
      <c r="N22" s="211">
        <f t="shared" si="8"/>
        <v>8498.5682229872964</v>
      </c>
      <c r="O22" s="210">
        <f t="shared" si="9"/>
        <v>0</v>
      </c>
      <c r="P22" s="210">
        <f t="shared" si="10"/>
        <v>0</v>
      </c>
      <c r="Q22" s="210">
        <v>0</v>
      </c>
      <c r="R22" s="211">
        <f t="shared" si="11"/>
        <v>8498.5682229872964</v>
      </c>
    </row>
    <row r="23" spans="1:18" x14ac:dyDescent="0.25">
      <c r="A23" s="126">
        <v>4</v>
      </c>
      <c r="B23" s="202">
        <f t="shared" si="5"/>
        <v>43556</v>
      </c>
      <c r="C23" s="203">
        <v>43588</v>
      </c>
      <c r="D23" s="203">
        <v>43605</v>
      </c>
      <c r="E23" s="212" t="s">
        <v>21</v>
      </c>
      <c r="F23" s="163">
        <v>9</v>
      </c>
      <c r="G23" s="205">
        <v>2574</v>
      </c>
      <c r="H23" s="206">
        <f t="shared" si="1"/>
        <v>3.4452834394041285</v>
      </c>
      <c r="I23" s="206">
        <f t="shared" si="2"/>
        <v>6.3301120928520218</v>
      </c>
      <c r="J23" s="207">
        <f t="shared" si="3"/>
        <v>16293.708527001105</v>
      </c>
      <c r="K23" s="208">
        <f t="shared" si="6"/>
        <v>8868.159573026227</v>
      </c>
      <c r="L23" s="209">
        <f t="shared" si="4"/>
        <v>7425.5489539748778</v>
      </c>
      <c r="M23" s="210">
        <f t="shared" si="7"/>
        <v>373.13718006052517</v>
      </c>
      <c r="N23" s="211">
        <f t="shared" si="8"/>
        <v>7798.6861340354026</v>
      </c>
      <c r="O23" s="210">
        <f t="shared" si="9"/>
        <v>0</v>
      </c>
      <c r="P23" s="210">
        <f t="shared" si="10"/>
        <v>0</v>
      </c>
      <c r="Q23" s="210">
        <v>0</v>
      </c>
      <c r="R23" s="211">
        <f t="shared" si="11"/>
        <v>7798.6861340354026</v>
      </c>
    </row>
    <row r="24" spans="1:18" ht="12" customHeight="1" x14ac:dyDescent="0.25">
      <c r="A24" s="163">
        <v>5</v>
      </c>
      <c r="B24" s="202">
        <f t="shared" si="5"/>
        <v>43586</v>
      </c>
      <c r="C24" s="203">
        <v>43621</v>
      </c>
      <c r="D24" s="203">
        <v>43636</v>
      </c>
      <c r="E24" s="54" t="s">
        <v>21</v>
      </c>
      <c r="F24" s="163">
        <v>9</v>
      </c>
      <c r="G24" s="205">
        <v>2970</v>
      </c>
      <c r="H24" s="206">
        <f t="shared" si="1"/>
        <v>3.4452834394041285</v>
      </c>
      <c r="I24" s="206">
        <f t="shared" si="2"/>
        <v>6.3301120928520218</v>
      </c>
      <c r="J24" s="207">
        <f t="shared" si="3"/>
        <v>18800.432915770503</v>
      </c>
      <c r="K24" s="208">
        <f t="shared" si="6"/>
        <v>10232.491815030262</v>
      </c>
      <c r="L24" s="209">
        <f t="shared" si="4"/>
        <v>8567.9411007402414</v>
      </c>
      <c r="M24" s="210">
        <f t="shared" si="7"/>
        <v>430.54290006983672</v>
      </c>
      <c r="N24" s="211">
        <f t="shared" si="8"/>
        <v>8998.4840008100782</v>
      </c>
      <c r="O24" s="210">
        <f t="shared" si="9"/>
        <v>0</v>
      </c>
      <c r="P24" s="210">
        <f t="shared" si="10"/>
        <v>0</v>
      </c>
      <c r="Q24" s="210">
        <v>0</v>
      </c>
      <c r="R24" s="211">
        <f t="shared" si="11"/>
        <v>8998.4840008100782</v>
      </c>
    </row>
    <row r="25" spans="1:18" x14ac:dyDescent="0.25">
      <c r="A25" s="163">
        <v>6</v>
      </c>
      <c r="B25" s="202">
        <f t="shared" si="5"/>
        <v>43617</v>
      </c>
      <c r="C25" s="203">
        <v>43649</v>
      </c>
      <c r="D25" s="203">
        <v>43664</v>
      </c>
      <c r="E25" s="54" t="s">
        <v>21</v>
      </c>
      <c r="F25" s="163">
        <v>9</v>
      </c>
      <c r="G25" s="205">
        <v>3724</v>
      </c>
      <c r="H25" s="206">
        <f t="shared" si="1"/>
        <v>3.4452834394041285</v>
      </c>
      <c r="I25" s="206">
        <f t="shared" si="2"/>
        <v>6.3301120928520218</v>
      </c>
      <c r="J25" s="207">
        <f t="shared" si="3"/>
        <v>23573.337433780929</v>
      </c>
      <c r="K25" s="208">
        <f t="shared" si="6"/>
        <v>12830.235528340974</v>
      </c>
      <c r="L25" s="213">
        <f t="shared" si="4"/>
        <v>10743.101905439955</v>
      </c>
      <c r="M25" s="210">
        <f t="shared" si="7"/>
        <v>539.84571039059654</v>
      </c>
      <c r="N25" s="211">
        <f t="shared" si="8"/>
        <v>11282.947615830552</v>
      </c>
      <c r="O25" s="210">
        <f t="shared" si="9"/>
        <v>0</v>
      </c>
      <c r="P25" s="210">
        <f t="shared" si="10"/>
        <v>0</v>
      </c>
      <c r="Q25" s="210">
        <v>0</v>
      </c>
      <c r="R25" s="211">
        <f t="shared" si="11"/>
        <v>11282.947615830552</v>
      </c>
    </row>
    <row r="26" spans="1:18" x14ac:dyDescent="0.25">
      <c r="A26" s="126">
        <v>7</v>
      </c>
      <c r="B26" s="202">
        <f t="shared" si="5"/>
        <v>43647</v>
      </c>
      <c r="C26" s="203">
        <v>43682</v>
      </c>
      <c r="D26" s="203">
        <v>43697</v>
      </c>
      <c r="E26" s="54" t="s">
        <v>21</v>
      </c>
      <c r="F26" s="163">
        <v>9</v>
      </c>
      <c r="G26" s="205">
        <v>3923</v>
      </c>
      <c r="H26" s="206">
        <f t="shared" si="1"/>
        <v>3.4452834394041285</v>
      </c>
      <c r="I26" s="206">
        <f t="shared" si="2"/>
        <v>6.3301120928520218</v>
      </c>
      <c r="J26" s="207">
        <f t="shared" si="3"/>
        <v>24833.02974025848</v>
      </c>
      <c r="K26" s="214">
        <f t="shared" si="6"/>
        <v>13515.846932782397</v>
      </c>
      <c r="L26" s="213">
        <f t="shared" si="4"/>
        <v>11317.182807476083</v>
      </c>
      <c r="M26" s="210">
        <f t="shared" si="7"/>
        <v>568.69353433466983</v>
      </c>
      <c r="N26" s="211">
        <f t="shared" si="8"/>
        <v>11885.876341810754</v>
      </c>
      <c r="O26" s="210">
        <f t="shared" si="9"/>
        <v>0</v>
      </c>
      <c r="P26" s="210">
        <f t="shared" si="10"/>
        <v>0</v>
      </c>
      <c r="Q26" s="210">
        <v>0</v>
      </c>
      <c r="R26" s="211">
        <f t="shared" si="11"/>
        <v>11885.876341810754</v>
      </c>
    </row>
    <row r="27" spans="1:18" x14ac:dyDescent="0.25">
      <c r="A27" s="163">
        <v>8</v>
      </c>
      <c r="B27" s="202">
        <f t="shared" si="5"/>
        <v>43678</v>
      </c>
      <c r="C27" s="203">
        <v>43712</v>
      </c>
      <c r="D27" s="203">
        <v>43727</v>
      </c>
      <c r="E27" s="54" t="s">
        <v>21</v>
      </c>
      <c r="F27" s="163">
        <v>9</v>
      </c>
      <c r="G27" s="205">
        <v>4089</v>
      </c>
      <c r="H27" s="206">
        <f t="shared" ref="H27:H79" si="12">$K$3</f>
        <v>3.4452834394041285</v>
      </c>
      <c r="I27" s="206">
        <f t="shared" si="2"/>
        <v>6.3301120928520218</v>
      </c>
      <c r="J27" s="207">
        <f t="shared" si="3"/>
        <v>25883.828347671919</v>
      </c>
      <c r="K27" s="214">
        <f t="shared" si="6"/>
        <v>14087.763983723482</v>
      </c>
      <c r="L27" s="213">
        <f t="shared" si="4"/>
        <v>11796.064363948437</v>
      </c>
      <c r="M27" s="210">
        <f t="shared" si="7"/>
        <v>592.75754827796709</v>
      </c>
      <c r="N27" s="211">
        <f t="shared" si="8"/>
        <v>12388.821912226404</v>
      </c>
      <c r="O27" s="210">
        <f t="shared" si="9"/>
        <v>0</v>
      </c>
      <c r="P27" s="210">
        <f t="shared" si="10"/>
        <v>0</v>
      </c>
      <c r="Q27" s="210">
        <v>0</v>
      </c>
      <c r="R27" s="211">
        <f t="shared" si="11"/>
        <v>12388.821912226404</v>
      </c>
    </row>
    <row r="28" spans="1:18" x14ac:dyDescent="0.25">
      <c r="A28" s="163">
        <v>9</v>
      </c>
      <c r="B28" s="202">
        <f t="shared" si="5"/>
        <v>43709</v>
      </c>
      <c r="C28" s="203">
        <v>43741</v>
      </c>
      <c r="D28" s="203">
        <v>43756</v>
      </c>
      <c r="E28" s="54" t="s">
        <v>21</v>
      </c>
      <c r="F28" s="163">
        <v>9</v>
      </c>
      <c r="G28" s="205">
        <v>3731</v>
      </c>
      <c r="H28" s="206">
        <f t="shared" si="12"/>
        <v>3.4452834394041285</v>
      </c>
      <c r="I28" s="206">
        <f t="shared" si="2"/>
        <v>6.3301120928520218</v>
      </c>
      <c r="J28" s="207">
        <f t="shared" si="3"/>
        <v>23617.648218430892</v>
      </c>
      <c r="K28" s="214">
        <f t="shared" si="6"/>
        <v>12854.352512416803</v>
      </c>
      <c r="L28" s="213">
        <f t="shared" si="4"/>
        <v>10763.295706014089</v>
      </c>
      <c r="M28" s="210">
        <f t="shared" si="7"/>
        <v>540.86045796651877</v>
      </c>
      <c r="N28" s="211">
        <f t="shared" si="8"/>
        <v>11304.156163980608</v>
      </c>
      <c r="O28" s="210">
        <f t="shared" si="9"/>
        <v>0</v>
      </c>
      <c r="P28" s="210">
        <f t="shared" si="10"/>
        <v>0</v>
      </c>
      <c r="Q28" s="210">
        <v>0</v>
      </c>
      <c r="R28" s="211">
        <f t="shared" si="11"/>
        <v>11304.156163980608</v>
      </c>
    </row>
    <row r="29" spans="1:18" x14ac:dyDescent="0.25">
      <c r="A29" s="126">
        <v>10</v>
      </c>
      <c r="B29" s="202">
        <f t="shared" si="5"/>
        <v>43739</v>
      </c>
      <c r="C29" s="203">
        <v>43774</v>
      </c>
      <c r="D29" s="203">
        <v>43789</v>
      </c>
      <c r="E29" s="54" t="s">
        <v>21</v>
      </c>
      <c r="F29" s="163">
        <v>9</v>
      </c>
      <c r="G29" s="205">
        <v>3527</v>
      </c>
      <c r="H29" s="206">
        <f t="shared" si="12"/>
        <v>3.4452834394041285</v>
      </c>
      <c r="I29" s="206">
        <f t="shared" si="2"/>
        <v>6.3301120928520218</v>
      </c>
      <c r="J29" s="207">
        <f t="shared" si="3"/>
        <v>22326.305351489082</v>
      </c>
      <c r="K29" s="214">
        <f t="shared" si="6"/>
        <v>12151.514690778362</v>
      </c>
      <c r="L29" s="213">
        <f t="shared" si="4"/>
        <v>10174.79066071072</v>
      </c>
      <c r="M29" s="210">
        <f t="shared" si="7"/>
        <v>511.28781432535828</v>
      </c>
      <c r="N29" s="211">
        <f t="shared" si="8"/>
        <v>10686.078475036078</v>
      </c>
      <c r="O29" s="210">
        <f t="shared" si="9"/>
        <v>0</v>
      </c>
      <c r="P29" s="210">
        <f t="shared" si="10"/>
        <v>0</v>
      </c>
      <c r="Q29" s="210">
        <v>0</v>
      </c>
      <c r="R29" s="211">
        <f t="shared" si="11"/>
        <v>10686.078475036078</v>
      </c>
    </row>
    <row r="30" spans="1:18" x14ac:dyDescent="0.25">
      <c r="A30" s="163">
        <v>11</v>
      </c>
      <c r="B30" s="202">
        <f t="shared" si="5"/>
        <v>43770</v>
      </c>
      <c r="C30" s="203">
        <v>43803</v>
      </c>
      <c r="D30" s="203">
        <v>43818</v>
      </c>
      <c r="E30" s="54" t="s">
        <v>21</v>
      </c>
      <c r="F30" s="163">
        <v>9</v>
      </c>
      <c r="G30" s="205">
        <v>2569</v>
      </c>
      <c r="H30" s="206">
        <f t="shared" si="12"/>
        <v>3.4452834394041285</v>
      </c>
      <c r="I30" s="206">
        <f t="shared" si="2"/>
        <v>6.3301120928520218</v>
      </c>
      <c r="J30" s="207">
        <f t="shared" si="3"/>
        <v>16262.057966536844</v>
      </c>
      <c r="K30" s="214">
        <f t="shared" si="6"/>
        <v>8850.933155829207</v>
      </c>
      <c r="L30" s="213">
        <f t="shared" si="4"/>
        <v>7411.1248107076372</v>
      </c>
      <c r="M30" s="210">
        <f t="shared" si="7"/>
        <v>372.41236036343781</v>
      </c>
      <c r="N30" s="211">
        <f t="shared" si="8"/>
        <v>7783.5371710710751</v>
      </c>
      <c r="O30" s="210">
        <f t="shared" si="9"/>
        <v>0</v>
      </c>
      <c r="P30" s="210">
        <f t="shared" si="10"/>
        <v>0</v>
      </c>
      <c r="Q30" s="210">
        <v>0</v>
      </c>
      <c r="R30" s="211">
        <f t="shared" si="11"/>
        <v>7783.5371710710751</v>
      </c>
    </row>
    <row r="31" spans="1:18" x14ac:dyDescent="0.25">
      <c r="A31" s="163">
        <v>12</v>
      </c>
      <c r="B31" s="202">
        <f t="shared" si="5"/>
        <v>43800</v>
      </c>
      <c r="C31" s="215">
        <v>43833</v>
      </c>
      <c r="D31" s="216">
        <v>43850</v>
      </c>
      <c r="E31" s="54" t="s">
        <v>21</v>
      </c>
      <c r="F31" s="163">
        <v>9</v>
      </c>
      <c r="G31" s="217">
        <v>2599</v>
      </c>
      <c r="H31" s="218">
        <f t="shared" si="12"/>
        <v>3.4452834394041285</v>
      </c>
      <c r="I31" s="218">
        <f t="shared" si="2"/>
        <v>6.3301120928520218</v>
      </c>
      <c r="J31" s="219">
        <f t="shared" si="3"/>
        <v>16451.961329322403</v>
      </c>
      <c r="K31" s="220">
        <f t="shared" si="6"/>
        <v>8954.2916590113291</v>
      </c>
      <c r="L31" s="221">
        <f t="shared" si="4"/>
        <v>7497.6696703110738</v>
      </c>
      <c r="M31" s="210">
        <f t="shared" si="7"/>
        <v>376.76127854596149</v>
      </c>
      <c r="N31" s="211">
        <f t="shared" si="8"/>
        <v>7874.4309488570352</v>
      </c>
      <c r="O31" s="210">
        <f t="shared" si="9"/>
        <v>0</v>
      </c>
      <c r="P31" s="210">
        <f t="shared" si="10"/>
        <v>0</v>
      </c>
      <c r="Q31" s="210">
        <v>0</v>
      </c>
      <c r="R31" s="211">
        <f t="shared" si="11"/>
        <v>7874.4309488570352</v>
      </c>
    </row>
    <row r="32" spans="1:18" x14ac:dyDescent="0.25">
      <c r="A32" s="126">
        <v>1</v>
      </c>
      <c r="B32" s="222">
        <f t="shared" si="5"/>
        <v>43466</v>
      </c>
      <c r="C32" s="223">
        <f t="shared" ref="C32:D43" si="13">+C20</f>
        <v>43501</v>
      </c>
      <c r="D32" s="223">
        <f t="shared" si="13"/>
        <v>43516</v>
      </c>
      <c r="E32" s="224" t="s">
        <v>22</v>
      </c>
      <c r="F32" s="225">
        <v>9</v>
      </c>
      <c r="G32" s="205">
        <v>2997</v>
      </c>
      <c r="H32" s="206">
        <f t="shared" ref="H32:H38" si="14">+$K$6</f>
        <v>3.4452834394041285</v>
      </c>
      <c r="I32" s="206">
        <f t="shared" si="2"/>
        <v>6.3301120928520218</v>
      </c>
      <c r="J32" s="207">
        <f t="shared" si="3"/>
        <v>18971.345942277509</v>
      </c>
      <c r="K32" s="208">
        <f t="shared" si="6"/>
        <v>10325.514467894172</v>
      </c>
      <c r="L32" s="209">
        <f t="shared" si="4"/>
        <v>8645.8314743833362</v>
      </c>
      <c r="M32" s="210">
        <f t="shared" si="7"/>
        <v>434.45692643410791</v>
      </c>
      <c r="N32" s="211">
        <f t="shared" si="8"/>
        <v>9080.2884008174442</v>
      </c>
      <c r="O32" s="210">
        <f t="shared" si="9"/>
        <v>0</v>
      </c>
      <c r="P32" s="210">
        <f t="shared" si="10"/>
        <v>0</v>
      </c>
      <c r="Q32" s="210">
        <v>0</v>
      </c>
      <c r="R32" s="211">
        <f t="shared" si="11"/>
        <v>9080.2884008174442</v>
      </c>
    </row>
    <row r="33" spans="1:18" x14ac:dyDescent="0.25">
      <c r="A33" s="163">
        <v>2</v>
      </c>
      <c r="B33" s="202">
        <f t="shared" si="5"/>
        <v>43497</v>
      </c>
      <c r="C33" s="226">
        <f t="shared" si="13"/>
        <v>43529</v>
      </c>
      <c r="D33" s="226">
        <f t="shared" si="13"/>
        <v>43544</v>
      </c>
      <c r="E33" s="212" t="s">
        <v>22</v>
      </c>
      <c r="F33" s="163">
        <v>9</v>
      </c>
      <c r="G33" s="205">
        <v>2891</v>
      </c>
      <c r="H33" s="206">
        <f t="shared" si="14"/>
        <v>3.4452834394041285</v>
      </c>
      <c r="I33" s="206">
        <f t="shared" si="2"/>
        <v>6.3301120928520218</v>
      </c>
      <c r="J33" s="207">
        <f t="shared" si="3"/>
        <v>18300.354060435195</v>
      </c>
      <c r="K33" s="208">
        <f t="shared" si="6"/>
        <v>9960.3144233173352</v>
      </c>
      <c r="L33" s="209">
        <f t="shared" si="4"/>
        <v>8340.0396371178595</v>
      </c>
      <c r="M33" s="210">
        <f t="shared" si="7"/>
        <v>419.0907488558579</v>
      </c>
      <c r="N33" s="211">
        <f t="shared" si="8"/>
        <v>8759.1303859737181</v>
      </c>
      <c r="O33" s="210">
        <f t="shared" si="9"/>
        <v>0</v>
      </c>
      <c r="P33" s="210">
        <f t="shared" si="10"/>
        <v>0</v>
      </c>
      <c r="Q33" s="210">
        <v>0</v>
      </c>
      <c r="R33" s="211">
        <f t="shared" si="11"/>
        <v>8759.1303859737181</v>
      </c>
    </row>
    <row r="34" spans="1:18" x14ac:dyDescent="0.25">
      <c r="A34" s="163">
        <v>3</v>
      </c>
      <c r="B34" s="202">
        <f t="shared" si="5"/>
        <v>43525</v>
      </c>
      <c r="C34" s="226">
        <f t="shared" si="13"/>
        <v>43558</v>
      </c>
      <c r="D34" s="226">
        <f t="shared" si="13"/>
        <v>43573</v>
      </c>
      <c r="E34" s="212" t="s">
        <v>22</v>
      </c>
      <c r="F34" s="163">
        <v>9</v>
      </c>
      <c r="G34" s="205">
        <v>2972</v>
      </c>
      <c r="H34" s="206">
        <f t="shared" si="14"/>
        <v>3.4452834394041285</v>
      </c>
      <c r="I34" s="206">
        <f t="shared" si="2"/>
        <v>6.3301120928520218</v>
      </c>
      <c r="J34" s="207">
        <f t="shared" si="3"/>
        <v>18813.093139956211</v>
      </c>
      <c r="K34" s="208">
        <f t="shared" ref="K34:K93" si="15">+$G34*H34</f>
        <v>10239.38238190907</v>
      </c>
      <c r="L34" s="209">
        <f t="shared" si="4"/>
        <v>8573.7107580471402</v>
      </c>
      <c r="M34" s="210">
        <f t="shared" si="7"/>
        <v>430.83282794867159</v>
      </c>
      <c r="N34" s="211">
        <f t="shared" si="8"/>
        <v>9004.5435859958125</v>
      </c>
      <c r="O34" s="210">
        <f t="shared" si="9"/>
        <v>0</v>
      </c>
      <c r="P34" s="210">
        <f t="shared" si="10"/>
        <v>0</v>
      </c>
      <c r="Q34" s="210">
        <v>0</v>
      </c>
      <c r="R34" s="211">
        <f t="shared" si="11"/>
        <v>9004.5435859958125</v>
      </c>
    </row>
    <row r="35" spans="1:18" x14ac:dyDescent="0.25">
      <c r="A35" s="126">
        <v>4</v>
      </c>
      <c r="B35" s="202">
        <f t="shared" si="5"/>
        <v>43556</v>
      </c>
      <c r="C35" s="226">
        <f t="shared" si="13"/>
        <v>43588</v>
      </c>
      <c r="D35" s="226">
        <f t="shared" si="13"/>
        <v>43605</v>
      </c>
      <c r="E35" s="212" t="s">
        <v>22</v>
      </c>
      <c r="F35" s="163">
        <v>9</v>
      </c>
      <c r="G35" s="205">
        <v>2449</v>
      </c>
      <c r="H35" s="206">
        <f t="shared" si="14"/>
        <v>3.4452834394041285</v>
      </c>
      <c r="I35" s="206">
        <f t="shared" si="2"/>
        <v>6.3301120928520218</v>
      </c>
      <c r="J35" s="207">
        <f t="shared" si="3"/>
        <v>15502.444515394602</v>
      </c>
      <c r="K35" s="208">
        <f t="shared" si="15"/>
        <v>8437.4991431007111</v>
      </c>
      <c r="L35" s="209">
        <f t="shared" ref="L35:L57" si="16">+J35-K35</f>
        <v>7064.9453722938906</v>
      </c>
      <c r="M35" s="210">
        <f t="shared" si="7"/>
        <v>355.01668763334345</v>
      </c>
      <c r="N35" s="211">
        <f t="shared" si="8"/>
        <v>7419.9620599272339</v>
      </c>
      <c r="O35" s="210">
        <f t="shared" si="9"/>
        <v>0</v>
      </c>
      <c r="P35" s="210">
        <f t="shared" si="10"/>
        <v>0</v>
      </c>
      <c r="Q35" s="210">
        <v>0</v>
      </c>
      <c r="R35" s="211">
        <f t="shared" si="11"/>
        <v>7419.9620599272339</v>
      </c>
    </row>
    <row r="36" spans="1:18" x14ac:dyDescent="0.25">
      <c r="A36" s="163">
        <v>5</v>
      </c>
      <c r="B36" s="202">
        <f t="shared" si="5"/>
        <v>43586</v>
      </c>
      <c r="C36" s="226">
        <f t="shared" si="13"/>
        <v>43621</v>
      </c>
      <c r="D36" s="226">
        <f t="shared" si="13"/>
        <v>43636</v>
      </c>
      <c r="E36" s="54" t="s">
        <v>22</v>
      </c>
      <c r="F36" s="163">
        <v>9</v>
      </c>
      <c r="G36" s="205">
        <v>3052</v>
      </c>
      <c r="H36" s="206">
        <f t="shared" si="14"/>
        <v>3.4452834394041285</v>
      </c>
      <c r="I36" s="206">
        <f t="shared" si="2"/>
        <v>6.3301120928520218</v>
      </c>
      <c r="J36" s="207">
        <f t="shared" si="3"/>
        <v>19319.502107384371</v>
      </c>
      <c r="K36" s="208">
        <f t="shared" si="15"/>
        <v>10515.0050570614</v>
      </c>
      <c r="L36" s="209">
        <f t="shared" si="16"/>
        <v>8804.4970503229706</v>
      </c>
      <c r="M36" s="210">
        <f t="shared" si="7"/>
        <v>442.42994310206785</v>
      </c>
      <c r="N36" s="211">
        <f t="shared" si="8"/>
        <v>9246.9269934250387</v>
      </c>
      <c r="O36" s="210">
        <f t="shared" si="9"/>
        <v>0</v>
      </c>
      <c r="P36" s="210">
        <f t="shared" si="10"/>
        <v>0</v>
      </c>
      <c r="Q36" s="210">
        <v>0</v>
      </c>
      <c r="R36" s="211">
        <f t="shared" si="11"/>
        <v>9246.9269934250387</v>
      </c>
    </row>
    <row r="37" spans="1:18" x14ac:dyDescent="0.25">
      <c r="A37" s="163">
        <v>6</v>
      </c>
      <c r="B37" s="202">
        <f t="shared" si="5"/>
        <v>43617</v>
      </c>
      <c r="C37" s="226">
        <f t="shared" si="13"/>
        <v>43649</v>
      </c>
      <c r="D37" s="226">
        <f t="shared" si="13"/>
        <v>43664</v>
      </c>
      <c r="E37" s="54" t="s">
        <v>22</v>
      </c>
      <c r="F37" s="163">
        <v>9</v>
      </c>
      <c r="G37" s="205">
        <v>3362</v>
      </c>
      <c r="H37" s="206">
        <f t="shared" si="14"/>
        <v>3.4452834394041285</v>
      </c>
      <c r="I37" s="206">
        <f t="shared" si="2"/>
        <v>6.3301120928520218</v>
      </c>
      <c r="J37" s="207">
        <f t="shared" si="3"/>
        <v>21281.836856168498</v>
      </c>
      <c r="K37" s="208">
        <f t="shared" si="15"/>
        <v>11583.04292327668</v>
      </c>
      <c r="L37" s="213">
        <f t="shared" si="16"/>
        <v>9698.7939328918183</v>
      </c>
      <c r="M37" s="210">
        <f t="shared" si="7"/>
        <v>487.36876432147841</v>
      </c>
      <c r="N37" s="211">
        <f t="shared" si="8"/>
        <v>10186.162697213296</v>
      </c>
      <c r="O37" s="210">
        <f t="shared" si="9"/>
        <v>0</v>
      </c>
      <c r="P37" s="210">
        <f t="shared" si="10"/>
        <v>0</v>
      </c>
      <c r="Q37" s="210">
        <v>0</v>
      </c>
      <c r="R37" s="211">
        <f t="shared" si="11"/>
        <v>10186.162697213296</v>
      </c>
    </row>
    <row r="38" spans="1:18" x14ac:dyDescent="0.25">
      <c r="A38" s="126">
        <v>7</v>
      </c>
      <c r="B38" s="202">
        <f t="shared" si="5"/>
        <v>43647</v>
      </c>
      <c r="C38" s="226">
        <f t="shared" si="13"/>
        <v>43682</v>
      </c>
      <c r="D38" s="226">
        <f t="shared" si="13"/>
        <v>43697</v>
      </c>
      <c r="E38" s="54" t="s">
        <v>22</v>
      </c>
      <c r="F38" s="163">
        <v>9</v>
      </c>
      <c r="G38" s="205">
        <v>3457</v>
      </c>
      <c r="H38" s="206">
        <f t="shared" si="14"/>
        <v>3.4452834394041285</v>
      </c>
      <c r="I38" s="206">
        <f t="shared" si="2"/>
        <v>6.3301120928520218</v>
      </c>
      <c r="J38" s="207">
        <f t="shared" si="3"/>
        <v>21883.197504989439</v>
      </c>
      <c r="K38" s="214">
        <f t="shared" si="15"/>
        <v>11910.344850020072</v>
      </c>
      <c r="L38" s="213">
        <f t="shared" si="16"/>
        <v>9972.852654969367</v>
      </c>
      <c r="M38" s="210">
        <f t="shared" si="7"/>
        <v>501.14033856613645</v>
      </c>
      <c r="N38" s="211">
        <f t="shared" si="8"/>
        <v>10473.992993535503</v>
      </c>
      <c r="O38" s="210">
        <f t="shared" si="9"/>
        <v>0</v>
      </c>
      <c r="P38" s="210">
        <f t="shared" si="10"/>
        <v>0</v>
      </c>
      <c r="Q38" s="210">
        <v>0</v>
      </c>
      <c r="R38" s="211">
        <f t="shared" si="11"/>
        <v>10473.992993535503</v>
      </c>
    </row>
    <row r="39" spans="1:18" x14ac:dyDescent="0.25">
      <c r="A39" s="163">
        <v>8</v>
      </c>
      <c r="B39" s="202">
        <f t="shared" si="5"/>
        <v>43678</v>
      </c>
      <c r="C39" s="226">
        <f t="shared" si="13"/>
        <v>43712</v>
      </c>
      <c r="D39" s="226">
        <f t="shared" si="13"/>
        <v>43727</v>
      </c>
      <c r="E39" s="54" t="s">
        <v>22</v>
      </c>
      <c r="F39" s="163">
        <v>9</v>
      </c>
      <c r="G39" s="205">
        <v>3664</v>
      </c>
      <c r="H39" s="206">
        <f t="shared" si="12"/>
        <v>3.4452834394041285</v>
      </c>
      <c r="I39" s="206">
        <f t="shared" si="2"/>
        <v>6.3301120928520218</v>
      </c>
      <c r="J39" s="207">
        <f t="shared" si="3"/>
        <v>23193.530708209808</v>
      </c>
      <c r="K39" s="214">
        <f t="shared" si="15"/>
        <v>12623.518521976726</v>
      </c>
      <c r="L39" s="213">
        <f t="shared" si="16"/>
        <v>10570.012186233082</v>
      </c>
      <c r="M39" s="210">
        <f t="shared" si="7"/>
        <v>531.14787402554941</v>
      </c>
      <c r="N39" s="211">
        <f t="shared" si="8"/>
        <v>11101.160060258631</v>
      </c>
      <c r="O39" s="210">
        <f t="shared" si="9"/>
        <v>0</v>
      </c>
      <c r="P39" s="210">
        <f t="shared" si="10"/>
        <v>0</v>
      </c>
      <c r="Q39" s="210">
        <v>0</v>
      </c>
      <c r="R39" s="211">
        <f t="shared" si="11"/>
        <v>11101.160060258631</v>
      </c>
    </row>
    <row r="40" spans="1:18" x14ac:dyDescent="0.25">
      <c r="A40" s="163">
        <v>9</v>
      </c>
      <c r="B40" s="202">
        <f t="shared" si="5"/>
        <v>43709</v>
      </c>
      <c r="C40" s="226">
        <f t="shared" si="13"/>
        <v>43741</v>
      </c>
      <c r="D40" s="226">
        <f t="shared" si="13"/>
        <v>43756</v>
      </c>
      <c r="E40" s="54" t="s">
        <v>22</v>
      </c>
      <c r="F40" s="163">
        <v>9</v>
      </c>
      <c r="G40" s="205">
        <v>3474</v>
      </c>
      <c r="H40" s="206">
        <f t="shared" si="12"/>
        <v>3.4452834394041285</v>
      </c>
      <c r="I40" s="206">
        <f t="shared" si="2"/>
        <v>6.3301120928520218</v>
      </c>
      <c r="J40" s="207">
        <f t="shared" si="3"/>
        <v>21990.809410567923</v>
      </c>
      <c r="K40" s="214">
        <f t="shared" si="15"/>
        <v>11968.914668489942</v>
      </c>
      <c r="L40" s="213">
        <f t="shared" si="16"/>
        <v>10021.89474207798</v>
      </c>
      <c r="M40" s="210">
        <f t="shared" si="7"/>
        <v>503.60472553623322</v>
      </c>
      <c r="N40" s="211">
        <f t="shared" si="8"/>
        <v>10525.499467614214</v>
      </c>
      <c r="O40" s="210">
        <f t="shared" si="9"/>
        <v>0</v>
      </c>
      <c r="P40" s="210">
        <f t="shared" si="10"/>
        <v>0</v>
      </c>
      <c r="Q40" s="210">
        <v>0</v>
      </c>
      <c r="R40" s="211">
        <f t="shared" si="11"/>
        <v>10525.499467614214</v>
      </c>
    </row>
    <row r="41" spans="1:18" x14ac:dyDescent="0.25">
      <c r="A41" s="126">
        <v>10</v>
      </c>
      <c r="B41" s="202">
        <f t="shared" si="5"/>
        <v>43739</v>
      </c>
      <c r="C41" s="226">
        <f t="shared" si="13"/>
        <v>43774</v>
      </c>
      <c r="D41" s="226">
        <f t="shared" si="13"/>
        <v>43789</v>
      </c>
      <c r="E41" s="54" t="s">
        <v>22</v>
      </c>
      <c r="F41" s="163">
        <v>9</v>
      </c>
      <c r="G41" s="205">
        <v>3301</v>
      </c>
      <c r="H41" s="206">
        <f t="shared" si="12"/>
        <v>3.4452834394041285</v>
      </c>
      <c r="I41" s="206">
        <f t="shared" si="2"/>
        <v>6.3301120928520218</v>
      </c>
      <c r="J41" s="207">
        <f t="shared" si="3"/>
        <v>20895.700018504525</v>
      </c>
      <c r="K41" s="214">
        <f t="shared" si="15"/>
        <v>11372.880633473029</v>
      </c>
      <c r="L41" s="213">
        <f t="shared" si="16"/>
        <v>9522.8193850314965</v>
      </c>
      <c r="M41" s="210">
        <f t="shared" si="7"/>
        <v>478.52596401701379</v>
      </c>
      <c r="N41" s="211">
        <f t="shared" si="8"/>
        <v>10001.34534904851</v>
      </c>
      <c r="O41" s="210">
        <f t="shared" si="9"/>
        <v>0</v>
      </c>
      <c r="P41" s="210">
        <f t="shared" si="10"/>
        <v>0</v>
      </c>
      <c r="Q41" s="210">
        <v>0</v>
      </c>
      <c r="R41" s="211">
        <f t="shared" si="11"/>
        <v>10001.34534904851</v>
      </c>
    </row>
    <row r="42" spans="1:18" x14ac:dyDescent="0.25">
      <c r="A42" s="163">
        <v>11</v>
      </c>
      <c r="B42" s="202">
        <f t="shared" si="5"/>
        <v>43770</v>
      </c>
      <c r="C42" s="226">
        <f t="shared" si="13"/>
        <v>43803</v>
      </c>
      <c r="D42" s="226">
        <f t="shared" si="13"/>
        <v>43818</v>
      </c>
      <c r="E42" s="54" t="s">
        <v>22</v>
      </c>
      <c r="F42" s="163">
        <v>9</v>
      </c>
      <c r="G42" s="205">
        <v>2932</v>
      </c>
      <c r="H42" s="206">
        <f t="shared" si="12"/>
        <v>3.4452834394041285</v>
      </c>
      <c r="I42" s="206">
        <f t="shared" si="2"/>
        <v>6.3301120928520218</v>
      </c>
      <c r="J42" s="207">
        <f t="shared" si="3"/>
        <v>18559.888656242128</v>
      </c>
      <c r="K42" s="214">
        <f t="shared" si="15"/>
        <v>10101.571044332904</v>
      </c>
      <c r="L42" s="213">
        <f t="shared" si="16"/>
        <v>8458.3176119092241</v>
      </c>
      <c r="M42" s="210">
        <f t="shared" si="7"/>
        <v>425.03427037197349</v>
      </c>
      <c r="N42" s="211">
        <f t="shared" si="8"/>
        <v>8883.3518822811984</v>
      </c>
      <c r="O42" s="210">
        <f t="shared" si="9"/>
        <v>0</v>
      </c>
      <c r="P42" s="210">
        <f t="shared" si="10"/>
        <v>0</v>
      </c>
      <c r="Q42" s="210">
        <v>0</v>
      </c>
      <c r="R42" s="211">
        <f t="shared" si="11"/>
        <v>8883.3518822811984</v>
      </c>
    </row>
    <row r="43" spans="1:18" x14ac:dyDescent="0.25">
      <c r="A43" s="163">
        <v>12</v>
      </c>
      <c r="B43" s="202">
        <f t="shared" si="5"/>
        <v>43800</v>
      </c>
      <c r="C43" s="226">
        <f t="shared" si="13"/>
        <v>43833</v>
      </c>
      <c r="D43" s="226">
        <f t="shared" si="13"/>
        <v>43850</v>
      </c>
      <c r="E43" s="54" t="s">
        <v>22</v>
      </c>
      <c r="F43" s="163">
        <v>9</v>
      </c>
      <c r="G43" s="217">
        <v>2839</v>
      </c>
      <c r="H43" s="218">
        <f t="shared" si="12"/>
        <v>3.4452834394041285</v>
      </c>
      <c r="I43" s="218">
        <f t="shared" si="2"/>
        <v>6.3301120928520218</v>
      </c>
      <c r="J43" s="219">
        <f t="shared" si="3"/>
        <v>17971.188231606891</v>
      </c>
      <c r="K43" s="220">
        <f t="shared" si="15"/>
        <v>9781.1596844683208</v>
      </c>
      <c r="L43" s="221">
        <f t="shared" si="16"/>
        <v>8190.0285471385705</v>
      </c>
      <c r="M43" s="210">
        <f t="shared" si="7"/>
        <v>411.55262400615027</v>
      </c>
      <c r="N43" s="211">
        <f t="shared" si="8"/>
        <v>8601.5811711447204</v>
      </c>
      <c r="O43" s="210">
        <f t="shared" si="9"/>
        <v>0</v>
      </c>
      <c r="P43" s="210">
        <f t="shared" si="10"/>
        <v>0</v>
      </c>
      <c r="Q43" s="210">
        <v>0</v>
      </c>
      <c r="R43" s="211">
        <f t="shared" si="11"/>
        <v>8601.5811711447204</v>
      </c>
    </row>
    <row r="44" spans="1:18" x14ac:dyDescent="0.25">
      <c r="A44" s="126">
        <v>1</v>
      </c>
      <c r="B44" s="222">
        <f t="shared" ref="B44:B55" si="17">DATE($R$1,A44,1)</f>
        <v>43466</v>
      </c>
      <c r="C44" s="223">
        <f t="shared" ref="C44:D55" si="18">+C32</f>
        <v>43501</v>
      </c>
      <c r="D44" s="223">
        <f t="shared" si="18"/>
        <v>43516</v>
      </c>
      <c r="E44" s="224" t="s">
        <v>82</v>
      </c>
      <c r="F44" s="225">
        <v>9</v>
      </c>
      <c r="G44" s="205">
        <v>157</v>
      </c>
      <c r="H44" s="206">
        <f t="shared" ref="H44:H50" si="19">+$K$6</f>
        <v>3.4452834394041285</v>
      </c>
      <c r="I44" s="206">
        <f t="shared" si="2"/>
        <v>6.3301120928520218</v>
      </c>
      <c r="J44" s="210">
        <f t="shared" ref="J44:J55" si="20">+$G44*I44</f>
        <v>993.82759857776739</v>
      </c>
      <c r="K44" s="214">
        <f t="shared" ref="K44:K55" si="21">+$G44*H44</f>
        <v>540.90949998644817</v>
      </c>
      <c r="L44" s="213">
        <f t="shared" ref="L44:L55" si="22">+J44-K44</f>
        <v>452.91809859131922</v>
      </c>
      <c r="M44" s="210">
        <f t="shared" si="7"/>
        <v>22.759338488540191</v>
      </c>
      <c r="N44" s="211">
        <f t="shared" si="8"/>
        <v>475.67743707985943</v>
      </c>
      <c r="O44" s="210">
        <f t="shared" si="9"/>
        <v>0</v>
      </c>
      <c r="P44" s="210">
        <f t="shared" si="10"/>
        <v>0</v>
      </c>
      <c r="Q44" s="210">
        <v>0</v>
      </c>
      <c r="R44" s="211">
        <f t="shared" si="11"/>
        <v>475.67743707985943</v>
      </c>
    </row>
    <row r="45" spans="1:18" x14ac:dyDescent="0.25">
      <c r="A45" s="163">
        <v>2</v>
      </c>
      <c r="B45" s="202">
        <f t="shared" si="17"/>
        <v>43497</v>
      </c>
      <c r="C45" s="226">
        <f t="shared" si="18"/>
        <v>43529</v>
      </c>
      <c r="D45" s="226">
        <f t="shared" si="18"/>
        <v>43544</v>
      </c>
      <c r="E45" s="212" t="s">
        <v>82</v>
      </c>
      <c r="F45" s="163">
        <v>9</v>
      </c>
      <c r="G45" s="205">
        <v>138</v>
      </c>
      <c r="H45" s="206">
        <f t="shared" si="19"/>
        <v>3.4452834394041285</v>
      </c>
      <c r="I45" s="206">
        <f t="shared" si="2"/>
        <v>6.3301120928520218</v>
      </c>
      <c r="J45" s="210">
        <f t="shared" si="20"/>
        <v>873.55546881357895</v>
      </c>
      <c r="K45" s="214">
        <f t="shared" si="21"/>
        <v>475.44911463776975</v>
      </c>
      <c r="L45" s="213">
        <f t="shared" si="22"/>
        <v>398.1063541758092</v>
      </c>
      <c r="M45" s="210">
        <f t="shared" si="7"/>
        <v>20.005023639608574</v>
      </c>
      <c r="N45" s="211">
        <f t="shared" si="8"/>
        <v>418.11137781541777</v>
      </c>
      <c r="O45" s="210">
        <f t="shared" si="9"/>
        <v>0</v>
      </c>
      <c r="P45" s="210">
        <f t="shared" si="10"/>
        <v>0</v>
      </c>
      <c r="Q45" s="210">
        <v>0</v>
      </c>
      <c r="R45" s="211">
        <f t="shared" si="11"/>
        <v>418.11137781541777</v>
      </c>
    </row>
    <row r="46" spans="1:18" x14ac:dyDescent="0.25">
      <c r="A46" s="163">
        <v>3</v>
      </c>
      <c r="B46" s="202">
        <f t="shared" si="17"/>
        <v>43525</v>
      </c>
      <c r="C46" s="226">
        <f t="shared" si="18"/>
        <v>43558</v>
      </c>
      <c r="D46" s="226">
        <f t="shared" si="18"/>
        <v>43573</v>
      </c>
      <c r="E46" s="212" t="s">
        <v>82</v>
      </c>
      <c r="F46" s="163">
        <v>9</v>
      </c>
      <c r="G46" s="205">
        <v>153</v>
      </c>
      <c r="H46" s="206">
        <f t="shared" si="19"/>
        <v>3.4452834394041285</v>
      </c>
      <c r="I46" s="206">
        <f t="shared" si="2"/>
        <v>6.3301120928520218</v>
      </c>
      <c r="J46" s="210">
        <f t="shared" si="20"/>
        <v>968.50715020635937</v>
      </c>
      <c r="K46" s="214">
        <f t="shared" si="21"/>
        <v>527.12836622883162</v>
      </c>
      <c r="L46" s="213">
        <f t="shared" si="22"/>
        <v>441.37878397752775</v>
      </c>
      <c r="M46" s="210">
        <f t="shared" si="7"/>
        <v>22.179482730870376</v>
      </c>
      <c r="N46" s="211">
        <f t="shared" si="8"/>
        <v>463.55826670839815</v>
      </c>
      <c r="O46" s="210">
        <f t="shared" si="9"/>
        <v>0</v>
      </c>
      <c r="P46" s="210">
        <f t="shared" si="10"/>
        <v>0</v>
      </c>
      <c r="Q46" s="210">
        <v>0</v>
      </c>
      <c r="R46" s="211">
        <f t="shared" si="11"/>
        <v>463.55826670839815</v>
      </c>
    </row>
    <row r="47" spans="1:18" x14ac:dyDescent="0.25">
      <c r="A47" s="126">
        <v>4</v>
      </c>
      <c r="B47" s="202">
        <f t="shared" si="17"/>
        <v>43556</v>
      </c>
      <c r="C47" s="226">
        <f t="shared" si="18"/>
        <v>43588</v>
      </c>
      <c r="D47" s="226">
        <f t="shared" si="18"/>
        <v>43605</v>
      </c>
      <c r="E47" s="212" t="s">
        <v>82</v>
      </c>
      <c r="F47" s="163">
        <v>9</v>
      </c>
      <c r="G47" s="205">
        <v>85</v>
      </c>
      <c r="H47" s="206">
        <f t="shared" si="19"/>
        <v>3.4452834394041285</v>
      </c>
      <c r="I47" s="206">
        <f t="shared" si="2"/>
        <v>6.3301120928520218</v>
      </c>
      <c r="J47" s="210">
        <f t="shared" si="20"/>
        <v>538.0595278924219</v>
      </c>
      <c r="K47" s="214">
        <f t="shared" si="21"/>
        <v>292.84909234935094</v>
      </c>
      <c r="L47" s="213">
        <f t="shared" si="22"/>
        <v>245.21043554307096</v>
      </c>
      <c r="M47" s="210">
        <f t="shared" si="7"/>
        <v>12.321934850483542</v>
      </c>
      <c r="N47" s="211">
        <f t="shared" si="8"/>
        <v>257.53237039355452</v>
      </c>
      <c r="O47" s="210">
        <f t="shared" si="9"/>
        <v>0</v>
      </c>
      <c r="P47" s="210">
        <f t="shared" si="10"/>
        <v>0</v>
      </c>
      <c r="Q47" s="210">
        <v>0</v>
      </c>
      <c r="R47" s="211">
        <f t="shared" si="11"/>
        <v>257.53237039355452</v>
      </c>
    </row>
    <row r="48" spans="1:18" x14ac:dyDescent="0.25">
      <c r="A48" s="163">
        <v>5</v>
      </c>
      <c r="B48" s="202">
        <f t="shared" si="17"/>
        <v>43586</v>
      </c>
      <c r="C48" s="226">
        <f t="shared" si="18"/>
        <v>43621</v>
      </c>
      <c r="D48" s="226">
        <f t="shared" si="18"/>
        <v>43636</v>
      </c>
      <c r="E48" s="212" t="s">
        <v>82</v>
      </c>
      <c r="F48" s="163">
        <v>9</v>
      </c>
      <c r="G48" s="205">
        <v>115</v>
      </c>
      <c r="H48" s="206">
        <f t="shared" si="19"/>
        <v>3.4452834394041285</v>
      </c>
      <c r="I48" s="206">
        <f t="shared" si="2"/>
        <v>6.3301120928520218</v>
      </c>
      <c r="J48" s="210">
        <f t="shared" si="20"/>
        <v>727.9628906779825</v>
      </c>
      <c r="K48" s="214">
        <f t="shared" si="21"/>
        <v>396.20759553147479</v>
      </c>
      <c r="L48" s="213">
        <f t="shared" si="22"/>
        <v>331.75529514650771</v>
      </c>
      <c r="M48" s="210">
        <f t="shared" si="7"/>
        <v>16.670853033007145</v>
      </c>
      <c r="N48" s="211">
        <f t="shared" si="8"/>
        <v>348.42614817951483</v>
      </c>
      <c r="O48" s="210">
        <f t="shared" si="9"/>
        <v>0</v>
      </c>
      <c r="P48" s="210">
        <f t="shared" si="10"/>
        <v>0</v>
      </c>
      <c r="Q48" s="210">
        <v>0</v>
      </c>
      <c r="R48" s="211">
        <f t="shared" si="11"/>
        <v>348.42614817951483</v>
      </c>
    </row>
    <row r="49" spans="1:18" x14ac:dyDescent="0.25">
      <c r="A49" s="163">
        <v>6</v>
      </c>
      <c r="B49" s="202">
        <f t="shared" si="17"/>
        <v>43617</v>
      </c>
      <c r="C49" s="226">
        <f t="shared" si="18"/>
        <v>43649</v>
      </c>
      <c r="D49" s="226">
        <f t="shared" si="18"/>
        <v>43664</v>
      </c>
      <c r="E49" s="212" t="s">
        <v>82</v>
      </c>
      <c r="F49" s="163">
        <v>9</v>
      </c>
      <c r="G49" s="205">
        <v>119</v>
      </c>
      <c r="H49" s="206">
        <f t="shared" si="19"/>
        <v>3.4452834394041285</v>
      </c>
      <c r="I49" s="206">
        <f t="shared" si="2"/>
        <v>6.3301120928520218</v>
      </c>
      <c r="J49" s="210">
        <f t="shared" si="20"/>
        <v>753.28333904939063</v>
      </c>
      <c r="K49" s="214">
        <f t="shared" si="21"/>
        <v>409.98872928909128</v>
      </c>
      <c r="L49" s="213">
        <f t="shared" si="22"/>
        <v>343.29460976029935</v>
      </c>
      <c r="M49" s="210">
        <f t="shared" si="7"/>
        <v>17.25070879067696</v>
      </c>
      <c r="N49" s="211">
        <f t="shared" si="8"/>
        <v>360.54531855097633</v>
      </c>
      <c r="O49" s="210">
        <f t="shared" si="9"/>
        <v>0</v>
      </c>
      <c r="P49" s="210">
        <f t="shared" si="10"/>
        <v>0</v>
      </c>
      <c r="Q49" s="210">
        <v>0</v>
      </c>
      <c r="R49" s="211">
        <f t="shared" si="11"/>
        <v>360.54531855097633</v>
      </c>
    </row>
    <row r="50" spans="1:18" x14ac:dyDescent="0.25">
      <c r="A50" s="126">
        <v>7</v>
      </c>
      <c r="B50" s="202">
        <f t="shared" si="17"/>
        <v>43647</v>
      </c>
      <c r="C50" s="226">
        <f t="shared" si="18"/>
        <v>43682</v>
      </c>
      <c r="D50" s="226">
        <f t="shared" si="18"/>
        <v>43697</v>
      </c>
      <c r="E50" s="212" t="s">
        <v>82</v>
      </c>
      <c r="F50" s="163">
        <v>9</v>
      </c>
      <c r="G50" s="205">
        <v>136</v>
      </c>
      <c r="H50" s="206">
        <f t="shared" si="19"/>
        <v>3.4452834394041285</v>
      </c>
      <c r="I50" s="206">
        <f t="shared" si="2"/>
        <v>6.3301120928520218</v>
      </c>
      <c r="J50" s="210">
        <f t="shared" si="20"/>
        <v>860.89524462787494</v>
      </c>
      <c r="K50" s="214">
        <f t="shared" si="21"/>
        <v>468.55854775896148</v>
      </c>
      <c r="L50" s="213">
        <f t="shared" si="22"/>
        <v>392.33669686891346</v>
      </c>
      <c r="M50" s="210">
        <f t="shared" si="7"/>
        <v>19.715095760773668</v>
      </c>
      <c r="N50" s="211">
        <f t="shared" si="8"/>
        <v>412.05179262968716</v>
      </c>
      <c r="O50" s="210">
        <f t="shared" si="9"/>
        <v>0</v>
      </c>
      <c r="P50" s="210">
        <f t="shared" si="10"/>
        <v>0</v>
      </c>
      <c r="Q50" s="210">
        <v>0</v>
      </c>
      <c r="R50" s="211">
        <f t="shared" si="11"/>
        <v>412.05179262968716</v>
      </c>
    </row>
    <row r="51" spans="1:18" x14ac:dyDescent="0.25">
      <c r="A51" s="163">
        <v>8</v>
      </c>
      <c r="B51" s="202">
        <f t="shared" si="17"/>
        <v>43678</v>
      </c>
      <c r="C51" s="226">
        <f t="shared" si="18"/>
        <v>43712</v>
      </c>
      <c r="D51" s="226">
        <f t="shared" si="18"/>
        <v>43727</v>
      </c>
      <c r="E51" s="212" t="s">
        <v>82</v>
      </c>
      <c r="F51" s="163">
        <v>9</v>
      </c>
      <c r="G51" s="205">
        <v>141</v>
      </c>
      <c r="H51" s="206">
        <f t="shared" si="12"/>
        <v>3.4452834394041285</v>
      </c>
      <c r="I51" s="206">
        <f t="shared" si="2"/>
        <v>6.3301120928520218</v>
      </c>
      <c r="J51" s="210">
        <f t="shared" si="20"/>
        <v>892.54580509213508</v>
      </c>
      <c r="K51" s="214">
        <f t="shared" si="21"/>
        <v>485.7849649559821</v>
      </c>
      <c r="L51" s="213">
        <f t="shared" si="22"/>
        <v>406.76084013615298</v>
      </c>
      <c r="M51" s="210">
        <f t="shared" si="7"/>
        <v>20.439915457860934</v>
      </c>
      <c r="N51" s="211">
        <f t="shared" si="8"/>
        <v>427.20075559401391</v>
      </c>
      <c r="O51" s="210">
        <f t="shared" si="9"/>
        <v>0</v>
      </c>
      <c r="P51" s="210">
        <f t="shared" si="10"/>
        <v>0</v>
      </c>
      <c r="Q51" s="210">
        <v>0</v>
      </c>
      <c r="R51" s="211">
        <f t="shared" si="11"/>
        <v>427.20075559401391</v>
      </c>
    </row>
    <row r="52" spans="1:18" x14ac:dyDescent="0.25">
      <c r="A52" s="163">
        <v>9</v>
      </c>
      <c r="B52" s="202">
        <f t="shared" si="17"/>
        <v>43709</v>
      </c>
      <c r="C52" s="226">
        <f t="shared" si="18"/>
        <v>43741</v>
      </c>
      <c r="D52" s="226">
        <f t="shared" si="18"/>
        <v>43756</v>
      </c>
      <c r="E52" s="212" t="s">
        <v>82</v>
      </c>
      <c r="F52" s="163">
        <v>9</v>
      </c>
      <c r="G52" s="205">
        <v>137</v>
      </c>
      <c r="H52" s="206">
        <f t="shared" si="12"/>
        <v>3.4452834394041285</v>
      </c>
      <c r="I52" s="206">
        <f t="shared" si="2"/>
        <v>6.3301120928520218</v>
      </c>
      <c r="J52" s="210">
        <f t="shared" si="20"/>
        <v>867.22535672072695</v>
      </c>
      <c r="K52" s="214">
        <f t="shared" si="21"/>
        <v>472.00383119836562</v>
      </c>
      <c r="L52" s="213">
        <f t="shared" si="22"/>
        <v>395.22152552236133</v>
      </c>
      <c r="M52" s="210">
        <f t="shared" si="7"/>
        <v>19.860059700191123</v>
      </c>
      <c r="N52" s="211">
        <f t="shared" si="8"/>
        <v>415.08158522255246</v>
      </c>
      <c r="O52" s="210">
        <f t="shared" si="9"/>
        <v>0</v>
      </c>
      <c r="P52" s="210">
        <f t="shared" si="10"/>
        <v>0</v>
      </c>
      <c r="Q52" s="210">
        <v>0</v>
      </c>
      <c r="R52" s="211">
        <f t="shared" si="11"/>
        <v>415.08158522255246</v>
      </c>
    </row>
    <row r="53" spans="1:18" x14ac:dyDescent="0.25">
      <c r="A53" s="126">
        <v>10</v>
      </c>
      <c r="B53" s="202">
        <f t="shared" si="17"/>
        <v>43739</v>
      </c>
      <c r="C53" s="226">
        <f t="shared" si="18"/>
        <v>43774</v>
      </c>
      <c r="D53" s="226">
        <f t="shared" si="18"/>
        <v>43789</v>
      </c>
      <c r="E53" s="212" t="s">
        <v>82</v>
      </c>
      <c r="F53" s="163">
        <v>9</v>
      </c>
      <c r="G53" s="205">
        <v>125</v>
      </c>
      <c r="H53" s="206">
        <f t="shared" si="12"/>
        <v>3.4452834394041285</v>
      </c>
      <c r="I53" s="206">
        <f t="shared" si="2"/>
        <v>6.3301120928520218</v>
      </c>
      <c r="J53" s="210">
        <f t="shared" si="20"/>
        <v>791.26401160650278</v>
      </c>
      <c r="K53" s="214">
        <f t="shared" si="21"/>
        <v>430.66042992551604</v>
      </c>
      <c r="L53" s="213">
        <f t="shared" si="22"/>
        <v>360.60358168098674</v>
      </c>
      <c r="M53" s="210">
        <f t="shared" si="7"/>
        <v>18.120492427181681</v>
      </c>
      <c r="N53" s="211">
        <f t="shared" si="8"/>
        <v>378.7240741081684</v>
      </c>
      <c r="O53" s="210">
        <f t="shared" si="9"/>
        <v>0</v>
      </c>
      <c r="P53" s="210">
        <f t="shared" si="10"/>
        <v>0</v>
      </c>
      <c r="Q53" s="210">
        <v>0</v>
      </c>
      <c r="R53" s="211">
        <f t="shared" si="11"/>
        <v>378.7240741081684</v>
      </c>
    </row>
    <row r="54" spans="1:18" x14ac:dyDescent="0.25">
      <c r="A54" s="163">
        <v>11</v>
      </c>
      <c r="B54" s="202">
        <f t="shared" si="17"/>
        <v>43770</v>
      </c>
      <c r="C54" s="226">
        <f t="shared" si="18"/>
        <v>43803</v>
      </c>
      <c r="D54" s="226">
        <f t="shared" si="18"/>
        <v>43818</v>
      </c>
      <c r="E54" s="212" t="s">
        <v>82</v>
      </c>
      <c r="F54" s="163">
        <v>9</v>
      </c>
      <c r="G54" s="205">
        <v>157</v>
      </c>
      <c r="H54" s="206">
        <f t="shared" si="12"/>
        <v>3.4452834394041285</v>
      </c>
      <c r="I54" s="206">
        <f t="shared" si="2"/>
        <v>6.3301120928520218</v>
      </c>
      <c r="J54" s="210">
        <f t="shared" si="20"/>
        <v>993.82759857776739</v>
      </c>
      <c r="K54" s="214">
        <f t="shared" si="21"/>
        <v>540.90949998644817</v>
      </c>
      <c r="L54" s="213">
        <f t="shared" si="22"/>
        <v>452.91809859131922</v>
      </c>
      <c r="M54" s="210">
        <f t="shared" si="7"/>
        <v>22.759338488540191</v>
      </c>
      <c r="N54" s="211">
        <f t="shared" si="8"/>
        <v>475.67743707985943</v>
      </c>
      <c r="O54" s="210">
        <f t="shared" si="9"/>
        <v>0</v>
      </c>
      <c r="P54" s="210">
        <f t="shared" si="10"/>
        <v>0</v>
      </c>
      <c r="Q54" s="210">
        <v>0</v>
      </c>
      <c r="R54" s="211">
        <f t="shared" si="11"/>
        <v>475.67743707985943</v>
      </c>
    </row>
    <row r="55" spans="1:18" x14ac:dyDescent="0.25">
      <c r="A55" s="163">
        <v>12</v>
      </c>
      <c r="B55" s="202">
        <f t="shared" si="17"/>
        <v>43800</v>
      </c>
      <c r="C55" s="226">
        <f t="shared" si="18"/>
        <v>43833</v>
      </c>
      <c r="D55" s="226">
        <f t="shared" si="18"/>
        <v>43850</v>
      </c>
      <c r="E55" s="212" t="s">
        <v>82</v>
      </c>
      <c r="F55" s="163">
        <v>9</v>
      </c>
      <c r="G55" s="217">
        <v>152</v>
      </c>
      <c r="H55" s="218">
        <f t="shared" si="12"/>
        <v>3.4452834394041285</v>
      </c>
      <c r="I55" s="218">
        <f t="shared" si="2"/>
        <v>6.3301120928520218</v>
      </c>
      <c r="J55" s="219">
        <f t="shared" si="20"/>
        <v>962.17703811350736</v>
      </c>
      <c r="K55" s="220">
        <f t="shared" si="21"/>
        <v>523.68308278942754</v>
      </c>
      <c r="L55" s="221">
        <f t="shared" si="22"/>
        <v>438.49395532407982</v>
      </c>
      <c r="M55" s="210">
        <f t="shared" si="7"/>
        <v>22.034518791452921</v>
      </c>
      <c r="N55" s="211">
        <f t="shared" si="8"/>
        <v>460.52847411553273</v>
      </c>
      <c r="O55" s="210">
        <f t="shared" si="9"/>
        <v>0</v>
      </c>
      <c r="P55" s="210">
        <f t="shared" si="10"/>
        <v>0</v>
      </c>
      <c r="Q55" s="210">
        <v>0</v>
      </c>
      <c r="R55" s="211">
        <f t="shared" si="11"/>
        <v>460.52847411553273</v>
      </c>
    </row>
    <row r="56" spans="1:18" s="227" customFormat="1" x14ac:dyDescent="0.25">
      <c r="A56" s="126">
        <v>1</v>
      </c>
      <c r="B56" s="222">
        <f t="shared" si="5"/>
        <v>43466</v>
      </c>
      <c r="C56" s="223">
        <f t="shared" ref="C56:D67" si="23">+C32</f>
        <v>43501</v>
      </c>
      <c r="D56" s="223">
        <f t="shared" si="23"/>
        <v>43516</v>
      </c>
      <c r="E56" s="224" t="s">
        <v>14</v>
      </c>
      <c r="F56" s="225">
        <v>9</v>
      </c>
      <c r="G56" s="205">
        <v>765</v>
      </c>
      <c r="H56" s="206">
        <f t="shared" ref="H56:H62" si="24">+$K$6</f>
        <v>3.4452834394041285</v>
      </c>
      <c r="I56" s="206">
        <f t="shared" si="2"/>
        <v>6.3301120928520218</v>
      </c>
      <c r="J56" s="207">
        <f t="shared" si="3"/>
        <v>4842.5357510317963</v>
      </c>
      <c r="K56" s="208">
        <f t="shared" si="15"/>
        <v>2635.6418311441585</v>
      </c>
      <c r="L56" s="209">
        <f t="shared" si="16"/>
        <v>2206.8939198876378</v>
      </c>
      <c r="M56" s="210">
        <f t="shared" si="7"/>
        <v>110.89741365435188</v>
      </c>
      <c r="N56" s="211">
        <f t="shared" si="8"/>
        <v>2317.7913335419898</v>
      </c>
      <c r="O56" s="210">
        <f t="shared" si="9"/>
        <v>0</v>
      </c>
      <c r="P56" s="210">
        <f t="shared" si="10"/>
        <v>0</v>
      </c>
      <c r="Q56" s="210">
        <v>0</v>
      </c>
      <c r="R56" s="211">
        <f t="shared" si="11"/>
        <v>2317.7913335419898</v>
      </c>
    </row>
    <row r="57" spans="1:18" x14ac:dyDescent="0.25">
      <c r="A57" s="163">
        <v>2</v>
      </c>
      <c r="B57" s="202">
        <f t="shared" si="5"/>
        <v>43497</v>
      </c>
      <c r="C57" s="226">
        <f t="shared" si="23"/>
        <v>43529</v>
      </c>
      <c r="D57" s="226">
        <f t="shared" si="23"/>
        <v>43544</v>
      </c>
      <c r="E57" s="212" t="s">
        <v>14</v>
      </c>
      <c r="F57" s="163">
        <v>9</v>
      </c>
      <c r="G57" s="205">
        <v>823</v>
      </c>
      <c r="H57" s="206">
        <f t="shared" si="24"/>
        <v>3.4452834394041285</v>
      </c>
      <c r="I57" s="206">
        <f t="shared" si="2"/>
        <v>6.3301120928520218</v>
      </c>
      <c r="J57" s="207">
        <f t="shared" si="3"/>
        <v>5209.6822524172139</v>
      </c>
      <c r="K57" s="208">
        <f t="shared" si="15"/>
        <v>2835.4682706295976</v>
      </c>
      <c r="L57" s="209">
        <f t="shared" si="16"/>
        <v>2374.2139817876164</v>
      </c>
      <c r="M57" s="210">
        <f t="shared" si="7"/>
        <v>119.30532214056419</v>
      </c>
      <c r="N57" s="211">
        <f t="shared" si="8"/>
        <v>2493.5193039281808</v>
      </c>
      <c r="O57" s="210">
        <f t="shared" si="9"/>
        <v>0</v>
      </c>
      <c r="P57" s="210">
        <f t="shared" si="10"/>
        <v>0</v>
      </c>
      <c r="Q57" s="210">
        <v>0</v>
      </c>
      <c r="R57" s="211">
        <f t="shared" si="11"/>
        <v>2493.5193039281808</v>
      </c>
    </row>
    <row r="58" spans="1:18" x14ac:dyDescent="0.25">
      <c r="A58" s="163">
        <v>3</v>
      </c>
      <c r="B58" s="202">
        <f t="shared" si="5"/>
        <v>43525</v>
      </c>
      <c r="C58" s="226">
        <f t="shared" si="23"/>
        <v>43558</v>
      </c>
      <c r="D58" s="226">
        <f t="shared" si="23"/>
        <v>43573</v>
      </c>
      <c r="E58" s="212" t="s">
        <v>14</v>
      </c>
      <c r="F58" s="163">
        <v>9</v>
      </c>
      <c r="G58" s="205">
        <v>810</v>
      </c>
      <c r="H58" s="206">
        <f t="shared" si="24"/>
        <v>3.4452834394041285</v>
      </c>
      <c r="I58" s="206">
        <f t="shared" si="2"/>
        <v>6.3301120928520218</v>
      </c>
      <c r="J58" s="207">
        <f t="shared" si="3"/>
        <v>5127.3907952101381</v>
      </c>
      <c r="K58" s="208">
        <f t="shared" si="15"/>
        <v>2790.679585917344</v>
      </c>
      <c r="L58" s="209">
        <f>+J58-K58</f>
        <v>2336.7112092927941</v>
      </c>
      <c r="M58" s="210">
        <f t="shared" si="7"/>
        <v>117.42079092813728</v>
      </c>
      <c r="N58" s="211">
        <f t="shared" si="8"/>
        <v>2454.1320002209313</v>
      </c>
      <c r="O58" s="210">
        <f t="shared" si="9"/>
        <v>0</v>
      </c>
      <c r="P58" s="210">
        <f t="shared" si="10"/>
        <v>0</v>
      </c>
      <c r="Q58" s="210">
        <v>0</v>
      </c>
      <c r="R58" s="211">
        <f t="shared" si="11"/>
        <v>2454.1320002209313</v>
      </c>
    </row>
    <row r="59" spans="1:18" x14ac:dyDescent="0.25">
      <c r="A59" s="126">
        <v>4</v>
      </c>
      <c r="B59" s="202">
        <f t="shared" si="5"/>
        <v>43556</v>
      </c>
      <c r="C59" s="226">
        <f t="shared" si="23"/>
        <v>43588</v>
      </c>
      <c r="D59" s="226">
        <f t="shared" si="23"/>
        <v>43605</v>
      </c>
      <c r="E59" s="212" t="s">
        <v>14</v>
      </c>
      <c r="F59" s="163">
        <v>9</v>
      </c>
      <c r="G59" s="205">
        <v>488</v>
      </c>
      <c r="H59" s="206">
        <f t="shared" si="24"/>
        <v>3.4452834394041285</v>
      </c>
      <c r="I59" s="206">
        <f t="shared" si="2"/>
        <v>6.3301120928520218</v>
      </c>
      <c r="J59" s="207">
        <f t="shared" si="3"/>
        <v>3089.0947013117866</v>
      </c>
      <c r="K59" s="208">
        <f t="shared" si="15"/>
        <v>1681.2983184292148</v>
      </c>
      <c r="L59" s="209">
        <f t="shared" ref="L59:L81" si="25">+J59-K59</f>
        <v>1407.7963828825718</v>
      </c>
      <c r="M59" s="210">
        <f t="shared" si="7"/>
        <v>70.742402435717267</v>
      </c>
      <c r="N59" s="211">
        <f t="shared" si="8"/>
        <v>1478.538785318289</v>
      </c>
      <c r="O59" s="210">
        <f t="shared" si="9"/>
        <v>0</v>
      </c>
      <c r="P59" s="210">
        <f t="shared" si="10"/>
        <v>0</v>
      </c>
      <c r="Q59" s="210">
        <v>0</v>
      </c>
      <c r="R59" s="211">
        <f t="shared" si="11"/>
        <v>1478.538785318289</v>
      </c>
    </row>
    <row r="60" spans="1:18" x14ac:dyDescent="0.25">
      <c r="A60" s="163">
        <v>5</v>
      </c>
      <c r="B60" s="202">
        <f t="shared" si="5"/>
        <v>43586</v>
      </c>
      <c r="C60" s="226">
        <f t="shared" si="23"/>
        <v>43621</v>
      </c>
      <c r="D60" s="226">
        <f t="shared" si="23"/>
        <v>43636</v>
      </c>
      <c r="E60" s="54" t="s">
        <v>14</v>
      </c>
      <c r="F60" s="163">
        <v>9</v>
      </c>
      <c r="G60" s="205">
        <v>697</v>
      </c>
      <c r="H60" s="206">
        <f t="shared" si="24"/>
        <v>3.4452834394041285</v>
      </c>
      <c r="I60" s="206">
        <f t="shared" si="2"/>
        <v>6.3301120928520218</v>
      </c>
      <c r="J60" s="207">
        <f t="shared" si="3"/>
        <v>4412.088128717859</v>
      </c>
      <c r="K60" s="208">
        <f t="shared" si="15"/>
        <v>2401.3625572646774</v>
      </c>
      <c r="L60" s="209">
        <f t="shared" si="25"/>
        <v>2010.7255714531816</v>
      </c>
      <c r="M60" s="210">
        <f t="shared" si="7"/>
        <v>101.03986577396505</v>
      </c>
      <c r="N60" s="211">
        <f t="shared" si="8"/>
        <v>2111.7654372271468</v>
      </c>
      <c r="O60" s="210">
        <f t="shared" si="9"/>
        <v>0</v>
      </c>
      <c r="P60" s="210">
        <f t="shared" si="10"/>
        <v>0</v>
      </c>
      <c r="Q60" s="210">
        <v>0</v>
      </c>
      <c r="R60" s="211">
        <f t="shared" si="11"/>
        <v>2111.7654372271468</v>
      </c>
    </row>
    <row r="61" spans="1:18" x14ac:dyDescent="0.25">
      <c r="A61" s="163">
        <v>6</v>
      </c>
      <c r="B61" s="202">
        <f t="shared" si="5"/>
        <v>43617</v>
      </c>
      <c r="C61" s="226">
        <f t="shared" si="23"/>
        <v>43649</v>
      </c>
      <c r="D61" s="226">
        <f t="shared" si="23"/>
        <v>43664</v>
      </c>
      <c r="E61" s="54" t="s">
        <v>14</v>
      </c>
      <c r="F61" s="163">
        <v>9</v>
      </c>
      <c r="G61" s="205">
        <v>805</v>
      </c>
      <c r="H61" s="206">
        <f t="shared" si="24"/>
        <v>3.4452834394041285</v>
      </c>
      <c r="I61" s="206">
        <f t="shared" si="2"/>
        <v>6.3301120928520218</v>
      </c>
      <c r="J61" s="207">
        <f t="shared" si="3"/>
        <v>5095.7402347458774</v>
      </c>
      <c r="K61" s="208">
        <f t="shared" si="15"/>
        <v>2773.4531687203234</v>
      </c>
      <c r="L61" s="213">
        <f t="shared" si="25"/>
        <v>2322.2870660255539</v>
      </c>
      <c r="M61" s="210">
        <f t="shared" si="7"/>
        <v>116.69597123105001</v>
      </c>
      <c r="N61" s="211">
        <f t="shared" si="8"/>
        <v>2438.9830372566039</v>
      </c>
      <c r="O61" s="210">
        <f t="shared" si="9"/>
        <v>0</v>
      </c>
      <c r="P61" s="210">
        <f t="shared" si="10"/>
        <v>0</v>
      </c>
      <c r="Q61" s="210">
        <v>0</v>
      </c>
      <c r="R61" s="211">
        <f t="shared" si="11"/>
        <v>2438.9830372566039</v>
      </c>
    </row>
    <row r="62" spans="1:18" x14ac:dyDescent="0.25">
      <c r="A62" s="126">
        <v>7</v>
      </c>
      <c r="B62" s="202">
        <f t="shared" si="5"/>
        <v>43647</v>
      </c>
      <c r="C62" s="226">
        <f t="shared" si="23"/>
        <v>43682</v>
      </c>
      <c r="D62" s="226">
        <f t="shared" si="23"/>
        <v>43697</v>
      </c>
      <c r="E62" s="54" t="s">
        <v>14</v>
      </c>
      <c r="F62" s="163">
        <v>9</v>
      </c>
      <c r="G62" s="205">
        <v>840</v>
      </c>
      <c r="H62" s="206">
        <f t="shared" si="24"/>
        <v>3.4452834394041285</v>
      </c>
      <c r="I62" s="206">
        <f t="shared" si="2"/>
        <v>6.3301120928520218</v>
      </c>
      <c r="J62" s="207">
        <f t="shared" si="3"/>
        <v>5317.2941579956987</v>
      </c>
      <c r="K62" s="214">
        <f t="shared" si="15"/>
        <v>2894.0380890994679</v>
      </c>
      <c r="L62" s="213">
        <f t="shared" si="25"/>
        <v>2423.2560688962308</v>
      </c>
      <c r="M62" s="210">
        <f t="shared" si="7"/>
        <v>121.76970911066087</v>
      </c>
      <c r="N62" s="211">
        <f t="shared" si="8"/>
        <v>2545.0257780068914</v>
      </c>
      <c r="O62" s="210">
        <f t="shared" si="9"/>
        <v>0</v>
      </c>
      <c r="P62" s="210">
        <f t="shared" si="10"/>
        <v>0</v>
      </c>
      <c r="Q62" s="210">
        <v>0</v>
      </c>
      <c r="R62" s="211">
        <f t="shared" si="11"/>
        <v>2545.0257780068914</v>
      </c>
    </row>
    <row r="63" spans="1:18" x14ac:dyDescent="0.25">
      <c r="A63" s="163">
        <v>8</v>
      </c>
      <c r="B63" s="202">
        <f t="shared" si="5"/>
        <v>43678</v>
      </c>
      <c r="C63" s="226">
        <f t="shared" si="23"/>
        <v>43712</v>
      </c>
      <c r="D63" s="226">
        <f t="shared" si="23"/>
        <v>43727</v>
      </c>
      <c r="E63" s="54" t="s">
        <v>14</v>
      </c>
      <c r="F63" s="163">
        <v>9</v>
      </c>
      <c r="G63" s="205">
        <v>890</v>
      </c>
      <c r="H63" s="206">
        <f t="shared" si="12"/>
        <v>3.4452834394041285</v>
      </c>
      <c r="I63" s="206">
        <f t="shared" si="2"/>
        <v>6.3301120928520218</v>
      </c>
      <c r="J63" s="207">
        <f t="shared" si="3"/>
        <v>5633.7997626382994</v>
      </c>
      <c r="K63" s="214">
        <f t="shared" si="15"/>
        <v>3066.3022610696744</v>
      </c>
      <c r="L63" s="213">
        <f t="shared" si="25"/>
        <v>2567.497501568625</v>
      </c>
      <c r="M63" s="210">
        <f t="shared" si="7"/>
        <v>129.01790608153354</v>
      </c>
      <c r="N63" s="211">
        <f t="shared" si="8"/>
        <v>2696.5154076501585</v>
      </c>
      <c r="O63" s="210">
        <f t="shared" si="9"/>
        <v>0</v>
      </c>
      <c r="P63" s="210">
        <f t="shared" si="10"/>
        <v>0</v>
      </c>
      <c r="Q63" s="210">
        <v>0</v>
      </c>
      <c r="R63" s="211">
        <f t="shared" si="11"/>
        <v>2696.5154076501585</v>
      </c>
    </row>
    <row r="64" spans="1:18" x14ac:dyDescent="0.25">
      <c r="A64" s="163">
        <v>9</v>
      </c>
      <c r="B64" s="202">
        <f t="shared" si="5"/>
        <v>43709</v>
      </c>
      <c r="C64" s="226">
        <f t="shared" si="23"/>
        <v>43741</v>
      </c>
      <c r="D64" s="226">
        <f t="shared" si="23"/>
        <v>43756</v>
      </c>
      <c r="E64" s="54" t="s">
        <v>14</v>
      </c>
      <c r="F64" s="163">
        <v>9</v>
      </c>
      <c r="G64" s="205">
        <v>818</v>
      </c>
      <c r="H64" s="206">
        <f t="shared" si="12"/>
        <v>3.4452834394041285</v>
      </c>
      <c r="I64" s="206">
        <f t="shared" ref="I64:I107" si="26">$J$3</f>
        <v>6.3301120928520218</v>
      </c>
      <c r="J64" s="207">
        <f t="shared" si="3"/>
        <v>5178.0316919529541</v>
      </c>
      <c r="K64" s="214">
        <f t="shared" si="15"/>
        <v>2818.241853432577</v>
      </c>
      <c r="L64" s="213">
        <f t="shared" si="25"/>
        <v>2359.7898385203771</v>
      </c>
      <c r="M64" s="210">
        <f t="shared" si="7"/>
        <v>118.58050244347692</v>
      </c>
      <c r="N64" s="211">
        <f t="shared" si="8"/>
        <v>2478.3703409638538</v>
      </c>
      <c r="O64" s="210">
        <f t="shared" si="9"/>
        <v>0</v>
      </c>
      <c r="P64" s="210">
        <f t="shared" si="10"/>
        <v>0</v>
      </c>
      <c r="Q64" s="210">
        <v>0</v>
      </c>
      <c r="R64" s="211">
        <f t="shared" si="11"/>
        <v>2478.3703409638538</v>
      </c>
    </row>
    <row r="65" spans="1:18" x14ac:dyDescent="0.25">
      <c r="A65" s="126">
        <v>10</v>
      </c>
      <c r="B65" s="202">
        <f t="shared" si="5"/>
        <v>43739</v>
      </c>
      <c r="C65" s="226">
        <f t="shared" si="23"/>
        <v>43774</v>
      </c>
      <c r="D65" s="226">
        <f t="shared" si="23"/>
        <v>43789</v>
      </c>
      <c r="E65" s="54" t="s">
        <v>14</v>
      </c>
      <c r="F65" s="163">
        <v>9</v>
      </c>
      <c r="G65" s="205">
        <v>759</v>
      </c>
      <c r="H65" s="206">
        <f t="shared" si="12"/>
        <v>3.4452834394041285</v>
      </c>
      <c r="I65" s="206">
        <f t="shared" si="26"/>
        <v>6.3301120928520218</v>
      </c>
      <c r="J65" s="207">
        <f t="shared" si="3"/>
        <v>4804.5550784746847</v>
      </c>
      <c r="K65" s="214">
        <f t="shared" si="15"/>
        <v>2614.9701305077338</v>
      </c>
      <c r="L65" s="213">
        <f t="shared" si="25"/>
        <v>2189.5849479669509</v>
      </c>
      <c r="M65" s="210">
        <f t="shared" si="7"/>
        <v>110.02763001784714</v>
      </c>
      <c r="N65" s="211">
        <f t="shared" si="8"/>
        <v>2299.612577984798</v>
      </c>
      <c r="O65" s="210">
        <f t="shared" si="9"/>
        <v>0</v>
      </c>
      <c r="P65" s="210">
        <f t="shared" si="10"/>
        <v>0</v>
      </c>
      <c r="Q65" s="210">
        <v>0</v>
      </c>
      <c r="R65" s="211">
        <f t="shared" si="11"/>
        <v>2299.612577984798</v>
      </c>
    </row>
    <row r="66" spans="1:18" x14ac:dyDescent="0.25">
      <c r="A66" s="163">
        <v>11</v>
      </c>
      <c r="B66" s="202">
        <f t="shared" si="5"/>
        <v>43770</v>
      </c>
      <c r="C66" s="226">
        <f t="shared" si="23"/>
        <v>43803</v>
      </c>
      <c r="D66" s="226">
        <f t="shared" si="23"/>
        <v>43818</v>
      </c>
      <c r="E66" s="54" t="s">
        <v>14</v>
      </c>
      <c r="F66" s="163">
        <v>9</v>
      </c>
      <c r="G66" s="205">
        <v>740</v>
      </c>
      <c r="H66" s="206">
        <f t="shared" si="12"/>
        <v>3.4452834394041285</v>
      </c>
      <c r="I66" s="206">
        <f t="shared" si="26"/>
        <v>6.3301120928520218</v>
      </c>
      <c r="J66" s="207">
        <f t="shared" si="3"/>
        <v>4684.2829487104964</v>
      </c>
      <c r="K66" s="214">
        <f t="shared" si="15"/>
        <v>2549.509745159055</v>
      </c>
      <c r="L66" s="213">
        <f t="shared" si="25"/>
        <v>2134.7732035514414</v>
      </c>
      <c r="M66" s="210">
        <f t="shared" si="7"/>
        <v>107.27331516891554</v>
      </c>
      <c r="N66" s="211">
        <f t="shared" si="8"/>
        <v>2242.0465187203567</v>
      </c>
      <c r="O66" s="210">
        <f t="shared" si="9"/>
        <v>0</v>
      </c>
      <c r="P66" s="210">
        <f t="shared" si="10"/>
        <v>0</v>
      </c>
      <c r="Q66" s="210">
        <v>0</v>
      </c>
      <c r="R66" s="211">
        <f t="shared" si="11"/>
        <v>2242.0465187203567</v>
      </c>
    </row>
    <row r="67" spans="1:18" s="230" customFormat="1" x14ac:dyDescent="0.25">
      <c r="A67" s="163">
        <v>12</v>
      </c>
      <c r="B67" s="228">
        <f t="shared" si="5"/>
        <v>43800</v>
      </c>
      <c r="C67" s="226">
        <f t="shared" si="23"/>
        <v>43833</v>
      </c>
      <c r="D67" s="226">
        <f t="shared" si="23"/>
        <v>43850</v>
      </c>
      <c r="E67" s="229" t="s">
        <v>14</v>
      </c>
      <c r="F67" s="174">
        <v>9</v>
      </c>
      <c r="G67" s="217">
        <v>752</v>
      </c>
      <c r="H67" s="218">
        <f t="shared" si="12"/>
        <v>3.4452834394041285</v>
      </c>
      <c r="I67" s="218">
        <f t="shared" si="26"/>
        <v>6.3301120928520218</v>
      </c>
      <c r="J67" s="219">
        <f t="shared" si="3"/>
        <v>4760.2442938247204</v>
      </c>
      <c r="K67" s="220">
        <f t="shared" si="15"/>
        <v>2590.8531464319049</v>
      </c>
      <c r="L67" s="221">
        <f t="shared" si="25"/>
        <v>2169.3911473928156</v>
      </c>
      <c r="M67" s="210">
        <f t="shared" si="7"/>
        <v>109.01288244192497</v>
      </c>
      <c r="N67" s="211">
        <f t="shared" si="8"/>
        <v>2278.4040298347404</v>
      </c>
      <c r="O67" s="210">
        <f t="shared" si="9"/>
        <v>0</v>
      </c>
      <c r="P67" s="210">
        <f t="shared" si="10"/>
        <v>0</v>
      </c>
      <c r="Q67" s="210">
        <v>0</v>
      </c>
      <c r="R67" s="211">
        <f t="shared" si="11"/>
        <v>2278.4040298347404</v>
      </c>
    </row>
    <row r="68" spans="1:18" x14ac:dyDescent="0.25">
      <c r="A68" s="126">
        <v>1</v>
      </c>
      <c r="B68" s="202">
        <f t="shared" si="5"/>
        <v>43466</v>
      </c>
      <c r="C68" s="223">
        <f t="shared" ref="C68:D79" si="27">+C56</f>
        <v>43501</v>
      </c>
      <c r="D68" s="223">
        <f t="shared" si="27"/>
        <v>43516</v>
      </c>
      <c r="E68" s="204" t="s">
        <v>86</v>
      </c>
      <c r="F68" s="126">
        <v>9</v>
      </c>
      <c r="G68" s="205">
        <v>38</v>
      </c>
      <c r="H68" s="206">
        <f t="shared" ref="H68:H74" si="28">+$K$6</f>
        <v>3.4452834394041285</v>
      </c>
      <c r="I68" s="206">
        <f t="shared" si="26"/>
        <v>6.3301120928520218</v>
      </c>
      <c r="J68" s="207">
        <f t="shared" si="3"/>
        <v>240.54425952837684</v>
      </c>
      <c r="K68" s="208">
        <f t="shared" si="15"/>
        <v>130.92077069735689</v>
      </c>
      <c r="L68" s="209">
        <f t="shared" si="25"/>
        <v>109.62348883101996</v>
      </c>
      <c r="M68" s="210">
        <f t="shared" si="7"/>
        <v>5.5086296978632303</v>
      </c>
      <c r="N68" s="211">
        <f t="shared" si="8"/>
        <v>115.13211852888318</v>
      </c>
      <c r="O68" s="210">
        <f t="shared" si="9"/>
        <v>0</v>
      </c>
      <c r="P68" s="210">
        <f t="shared" si="10"/>
        <v>0</v>
      </c>
      <c r="Q68" s="210">
        <v>0</v>
      </c>
      <c r="R68" s="211">
        <f t="shared" si="11"/>
        <v>115.13211852888318</v>
      </c>
    </row>
    <row r="69" spans="1:18" x14ac:dyDescent="0.25">
      <c r="A69" s="163">
        <v>2</v>
      </c>
      <c r="B69" s="202">
        <f t="shared" si="5"/>
        <v>43497</v>
      </c>
      <c r="C69" s="226">
        <f t="shared" si="27"/>
        <v>43529</v>
      </c>
      <c r="D69" s="226">
        <f t="shared" si="27"/>
        <v>43544</v>
      </c>
      <c r="E69" s="212" t="s">
        <v>86</v>
      </c>
      <c r="F69" s="163">
        <v>9</v>
      </c>
      <c r="G69" s="205">
        <v>43</v>
      </c>
      <c r="H69" s="206">
        <f t="shared" si="28"/>
        <v>3.4452834394041285</v>
      </c>
      <c r="I69" s="206">
        <f t="shared" si="26"/>
        <v>6.3301120928520218</v>
      </c>
      <c r="J69" s="207">
        <f t="shared" si="3"/>
        <v>272.19481999263695</v>
      </c>
      <c r="K69" s="208">
        <f t="shared" si="15"/>
        <v>148.14718789437754</v>
      </c>
      <c r="L69" s="209">
        <f t="shared" si="25"/>
        <v>124.04763209825941</v>
      </c>
      <c r="M69" s="210">
        <f t="shared" si="7"/>
        <v>6.2334493949504974</v>
      </c>
      <c r="N69" s="211">
        <f t="shared" si="8"/>
        <v>130.28108149320991</v>
      </c>
      <c r="O69" s="210">
        <f t="shared" si="9"/>
        <v>0</v>
      </c>
      <c r="P69" s="210">
        <f t="shared" si="10"/>
        <v>0</v>
      </c>
      <c r="Q69" s="210">
        <v>0</v>
      </c>
      <c r="R69" s="211">
        <f t="shared" si="11"/>
        <v>130.28108149320991</v>
      </c>
    </row>
    <row r="70" spans="1:18" x14ac:dyDescent="0.25">
      <c r="A70" s="163">
        <v>3</v>
      </c>
      <c r="B70" s="202">
        <f t="shared" si="5"/>
        <v>43525</v>
      </c>
      <c r="C70" s="226">
        <f t="shared" si="27"/>
        <v>43558</v>
      </c>
      <c r="D70" s="226">
        <f t="shared" si="27"/>
        <v>43573</v>
      </c>
      <c r="E70" s="212" t="s">
        <v>86</v>
      </c>
      <c r="F70" s="163">
        <v>9</v>
      </c>
      <c r="G70" s="205">
        <v>45</v>
      </c>
      <c r="H70" s="206">
        <f t="shared" si="28"/>
        <v>3.4452834394041285</v>
      </c>
      <c r="I70" s="206">
        <f t="shared" si="26"/>
        <v>6.3301120928520218</v>
      </c>
      <c r="J70" s="207">
        <f t="shared" si="3"/>
        <v>284.85504417834096</v>
      </c>
      <c r="K70" s="208">
        <f t="shared" si="15"/>
        <v>155.03775477318578</v>
      </c>
      <c r="L70" s="209">
        <f>+J70-K70</f>
        <v>129.81728940515518</v>
      </c>
      <c r="M70" s="210">
        <f t="shared" si="7"/>
        <v>6.5233772737854041</v>
      </c>
      <c r="N70" s="211">
        <f t="shared" si="8"/>
        <v>136.34066667894058</v>
      </c>
      <c r="O70" s="210">
        <f t="shared" si="9"/>
        <v>0</v>
      </c>
      <c r="P70" s="210">
        <f t="shared" si="10"/>
        <v>0</v>
      </c>
      <c r="Q70" s="210">
        <v>0</v>
      </c>
      <c r="R70" s="211">
        <f t="shared" si="11"/>
        <v>136.34066667894058</v>
      </c>
    </row>
    <row r="71" spans="1:18" x14ac:dyDescent="0.25">
      <c r="A71" s="126">
        <v>4</v>
      </c>
      <c r="B71" s="202">
        <f t="shared" si="5"/>
        <v>43556</v>
      </c>
      <c r="C71" s="226">
        <f t="shared" si="27"/>
        <v>43588</v>
      </c>
      <c r="D71" s="226">
        <f t="shared" si="27"/>
        <v>43605</v>
      </c>
      <c r="E71" s="212" t="s">
        <v>86</v>
      </c>
      <c r="F71" s="163">
        <v>9</v>
      </c>
      <c r="G71" s="205">
        <v>22</v>
      </c>
      <c r="H71" s="206">
        <f t="shared" si="28"/>
        <v>3.4452834394041285</v>
      </c>
      <c r="I71" s="206">
        <f t="shared" si="26"/>
        <v>6.3301120928520218</v>
      </c>
      <c r="J71" s="207">
        <f t="shared" si="3"/>
        <v>139.26246604274448</v>
      </c>
      <c r="K71" s="208">
        <f t="shared" si="15"/>
        <v>75.796235666890823</v>
      </c>
      <c r="L71" s="209">
        <f t="shared" ref="L71:L79" si="29">+J71-K71</f>
        <v>63.466230375853655</v>
      </c>
      <c r="M71" s="210">
        <f t="shared" si="7"/>
        <v>3.1892066671839756</v>
      </c>
      <c r="N71" s="211">
        <f t="shared" si="8"/>
        <v>66.655437043037637</v>
      </c>
      <c r="O71" s="210">
        <f t="shared" si="9"/>
        <v>0</v>
      </c>
      <c r="P71" s="210">
        <f t="shared" si="10"/>
        <v>0</v>
      </c>
      <c r="Q71" s="210">
        <v>0</v>
      </c>
      <c r="R71" s="211">
        <f t="shared" si="11"/>
        <v>66.655437043037637</v>
      </c>
    </row>
    <row r="72" spans="1:18" x14ac:dyDescent="0.25">
      <c r="A72" s="163">
        <v>5</v>
      </c>
      <c r="B72" s="202">
        <f t="shared" si="5"/>
        <v>43586</v>
      </c>
      <c r="C72" s="226">
        <f t="shared" si="27"/>
        <v>43621</v>
      </c>
      <c r="D72" s="226">
        <f t="shared" si="27"/>
        <v>43636</v>
      </c>
      <c r="E72" s="212" t="s">
        <v>86</v>
      </c>
      <c r="F72" s="163">
        <v>9</v>
      </c>
      <c r="G72" s="205">
        <v>31</v>
      </c>
      <c r="H72" s="206">
        <f t="shared" si="28"/>
        <v>3.4452834394041285</v>
      </c>
      <c r="I72" s="206">
        <f t="shared" si="26"/>
        <v>6.3301120928520218</v>
      </c>
      <c r="J72" s="207">
        <f t="shared" si="3"/>
        <v>196.23347487841266</v>
      </c>
      <c r="K72" s="208">
        <f t="shared" si="15"/>
        <v>106.80378662152799</v>
      </c>
      <c r="L72" s="209">
        <f t="shared" si="29"/>
        <v>89.429688256884674</v>
      </c>
      <c r="M72" s="210">
        <f t="shared" si="7"/>
        <v>4.4938821219410565</v>
      </c>
      <c r="N72" s="211">
        <f t="shared" si="8"/>
        <v>93.92357037882573</v>
      </c>
      <c r="O72" s="210">
        <f t="shared" si="9"/>
        <v>0</v>
      </c>
      <c r="P72" s="210">
        <f t="shared" si="10"/>
        <v>0</v>
      </c>
      <c r="Q72" s="210">
        <v>0</v>
      </c>
      <c r="R72" s="211">
        <f t="shared" si="11"/>
        <v>93.92357037882573</v>
      </c>
    </row>
    <row r="73" spans="1:18" x14ac:dyDescent="0.25">
      <c r="A73" s="163">
        <v>6</v>
      </c>
      <c r="B73" s="202">
        <f t="shared" si="5"/>
        <v>43617</v>
      </c>
      <c r="C73" s="226">
        <f t="shared" si="27"/>
        <v>43649</v>
      </c>
      <c r="D73" s="226">
        <f t="shared" si="27"/>
        <v>43664</v>
      </c>
      <c r="E73" s="212" t="s">
        <v>86</v>
      </c>
      <c r="F73" s="163">
        <v>9</v>
      </c>
      <c r="G73" s="205">
        <v>44</v>
      </c>
      <c r="H73" s="206">
        <f t="shared" si="28"/>
        <v>3.4452834394041285</v>
      </c>
      <c r="I73" s="206">
        <f t="shared" si="26"/>
        <v>6.3301120928520218</v>
      </c>
      <c r="J73" s="207">
        <f t="shared" si="3"/>
        <v>278.52493208548896</v>
      </c>
      <c r="K73" s="208">
        <f t="shared" si="15"/>
        <v>151.59247133378165</v>
      </c>
      <c r="L73" s="213">
        <f t="shared" si="29"/>
        <v>126.93246075170731</v>
      </c>
      <c r="M73" s="210">
        <f t="shared" si="7"/>
        <v>6.3784133343679512</v>
      </c>
      <c r="N73" s="211">
        <f t="shared" si="8"/>
        <v>133.31087408607527</v>
      </c>
      <c r="O73" s="210">
        <f t="shared" si="9"/>
        <v>0</v>
      </c>
      <c r="P73" s="210">
        <f t="shared" si="10"/>
        <v>0</v>
      </c>
      <c r="Q73" s="210">
        <v>0</v>
      </c>
      <c r="R73" s="211">
        <f t="shared" si="11"/>
        <v>133.31087408607527</v>
      </c>
    </row>
    <row r="74" spans="1:18" x14ac:dyDescent="0.25">
      <c r="A74" s="126">
        <v>7</v>
      </c>
      <c r="B74" s="202">
        <f t="shared" si="5"/>
        <v>43647</v>
      </c>
      <c r="C74" s="226">
        <f t="shared" si="27"/>
        <v>43682</v>
      </c>
      <c r="D74" s="226">
        <f t="shared" si="27"/>
        <v>43697</v>
      </c>
      <c r="E74" s="212" t="s">
        <v>86</v>
      </c>
      <c r="F74" s="163">
        <v>9</v>
      </c>
      <c r="G74" s="205">
        <v>47</v>
      </c>
      <c r="H74" s="206">
        <f t="shared" si="28"/>
        <v>3.4452834394041285</v>
      </c>
      <c r="I74" s="206">
        <f t="shared" si="26"/>
        <v>6.3301120928520218</v>
      </c>
      <c r="J74" s="207">
        <f t="shared" si="3"/>
        <v>297.51526836404503</v>
      </c>
      <c r="K74" s="214">
        <f t="shared" si="15"/>
        <v>161.92832165199405</v>
      </c>
      <c r="L74" s="213">
        <f t="shared" si="29"/>
        <v>135.58694671205097</v>
      </c>
      <c r="M74" s="210">
        <f t="shared" si="7"/>
        <v>6.8133051526203108</v>
      </c>
      <c r="N74" s="211">
        <f t="shared" si="8"/>
        <v>142.40025186467128</v>
      </c>
      <c r="O74" s="210">
        <f t="shared" si="9"/>
        <v>0</v>
      </c>
      <c r="P74" s="210">
        <f t="shared" si="10"/>
        <v>0</v>
      </c>
      <c r="Q74" s="210">
        <v>0</v>
      </c>
      <c r="R74" s="211">
        <f t="shared" si="11"/>
        <v>142.40025186467128</v>
      </c>
    </row>
    <row r="75" spans="1:18" x14ac:dyDescent="0.25">
      <c r="A75" s="163">
        <v>8</v>
      </c>
      <c r="B75" s="202">
        <f t="shared" si="5"/>
        <v>43678</v>
      </c>
      <c r="C75" s="226">
        <f t="shared" si="27"/>
        <v>43712</v>
      </c>
      <c r="D75" s="226">
        <f t="shared" si="27"/>
        <v>43727</v>
      </c>
      <c r="E75" s="212" t="s">
        <v>86</v>
      </c>
      <c r="F75" s="163">
        <v>9</v>
      </c>
      <c r="G75" s="205">
        <v>50</v>
      </c>
      <c r="H75" s="206">
        <f t="shared" si="12"/>
        <v>3.4452834394041285</v>
      </c>
      <c r="I75" s="206">
        <f t="shared" si="26"/>
        <v>6.3301120928520218</v>
      </c>
      <c r="J75" s="207">
        <f t="shared" si="3"/>
        <v>316.5056046426011</v>
      </c>
      <c r="K75" s="214">
        <f t="shared" si="15"/>
        <v>172.26417197020643</v>
      </c>
      <c r="L75" s="213">
        <f t="shared" si="29"/>
        <v>144.24143267239467</v>
      </c>
      <c r="M75" s="210">
        <f t="shared" si="7"/>
        <v>7.2481969708726712</v>
      </c>
      <c r="N75" s="211">
        <f t="shared" si="8"/>
        <v>151.48962964326734</v>
      </c>
      <c r="O75" s="210">
        <f t="shared" si="9"/>
        <v>0</v>
      </c>
      <c r="P75" s="210">
        <f t="shared" si="10"/>
        <v>0</v>
      </c>
      <c r="Q75" s="210">
        <v>0</v>
      </c>
      <c r="R75" s="211">
        <f t="shared" si="11"/>
        <v>151.48962964326734</v>
      </c>
    </row>
    <row r="76" spans="1:18" x14ac:dyDescent="0.25">
      <c r="A76" s="163">
        <v>9</v>
      </c>
      <c r="B76" s="202">
        <f t="shared" si="5"/>
        <v>43709</v>
      </c>
      <c r="C76" s="226">
        <f t="shared" si="27"/>
        <v>43741</v>
      </c>
      <c r="D76" s="226">
        <f t="shared" si="27"/>
        <v>43756</v>
      </c>
      <c r="E76" s="212" t="s">
        <v>86</v>
      </c>
      <c r="F76" s="163">
        <v>9</v>
      </c>
      <c r="G76" s="205">
        <v>45</v>
      </c>
      <c r="H76" s="206">
        <f t="shared" si="12"/>
        <v>3.4452834394041285</v>
      </c>
      <c r="I76" s="206">
        <f t="shared" si="26"/>
        <v>6.3301120928520218</v>
      </c>
      <c r="J76" s="207">
        <f t="shared" si="3"/>
        <v>284.85504417834096</v>
      </c>
      <c r="K76" s="214">
        <f t="shared" si="15"/>
        <v>155.03775477318578</v>
      </c>
      <c r="L76" s="213">
        <f t="shared" si="29"/>
        <v>129.81728940515518</v>
      </c>
      <c r="M76" s="210">
        <f t="shared" si="7"/>
        <v>6.5233772737854041</v>
      </c>
      <c r="N76" s="211">
        <f t="shared" si="8"/>
        <v>136.34066667894058</v>
      </c>
      <c r="O76" s="210">
        <f t="shared" si="9"/>
        <v>0</v>
      </c>
      <c r="P76" s="210">
        <f t="shared" si="10"/>
        <v>0</v>
      </c>
      <c r="Q76" s="210">
        <v>0</v>
      </c>
      <c r="R76" s="211">
        <f t="shared" si="11"/>
        <v>136.34066667894058</v>
      </c>
    </row>
    <row r="77" spans="1:18" x14ac:dyDescent="0.25">
      <c r="A77" s="126">
        <v>10</v>
      </c>
      <c r="B77" s="202">
        <f t="shared" si="5"/>
        <v>43739</v>
      </c>
      <c r="C77" s="226">
        <f t="shared" si="27"/>
        <v>43774</v>
      </c>
      <c r="D77" s="226">
        <f t="shared" si="27"/>
        <v>43789</v>
      </c>
      <c r="E77" s="212" t="s">
        <v>86</v>
      </c>
      <c r="F77" s="163">
        <v>9</v>
      </c>
      <c r="G77" s="205">
        <v>37</v>
      </c>
      <c r="H77" s="206">
        <f t="shared" si="12"/>
        <v>3.4452834394041285</v>
      </c>
      <c r="I77" s="206">
        <f t="shared" si="26"/>
        <v>6.3301120928520218</v>
      </c>
      <c r="J77" s="207">
        <f t="shared" si="3"/>
        <v>234.21414743552481</v>
      </c>
      <c r="K77" s="214">
        <f t="shared" si="15"/>
        <v>127.47548725795275</v>
      </c>
      <c r="L77" s="213">
        <f t="shared" si="29"/>
        <v>106.73866017757206</v>
      </c>
      <c r="M77" s="210">
        <f t="shared" si="7"/>
        <v>5.3636657584457774</v>
      </c>
      <c r="N77" s="211">
        <f t="shared" si="8"/>
        <v>112.10232593601783</v>
      </c>
      <c r="O77" s="210">
        <f t="shared" si="9"/>
        <v>0</v>
      </c>
      <c r="P77" s="210">
        <f t="shared" si="10"/>
        <v>0</v>
      </c>
      <c r="Q77" s="210">
        <v>0</v>
      </c>
      <c r="R77" s="211">
        <f t="shared" si="11"/>
        <v>112.10232593601783</v>
      </c>
    </row>
    <row r="78" spans="1:18" x14ac:dyDescent="0.25">
      <c r="A78" s="163">
        <v>11</v>
      </c>
      <c r="B78" s="202">
        <f t="shared" si="5"/>
        <v>43770</v>
      </c>
      <c r="C78" s="226">
        <f t="shared" si="27"/>
        <v>43803</v>
      </c>
      <c r="D78" s="226">
        <f t="shared" si="27"/>
        <v>43818</v>
      </c>
      <c r="E78" s="212" t="s">
        <v>86</v>
      </c>
      <c r="F78" s="163">
        <v>9</v>
      </c>
      <c r="G78" s="205">
        <v>38</v>
      </c>
      <c r="H78" s="206">
        <f t="shared" si="12"/>
        <v>3.4452834394041285</v>
      </c>
      <c r="I78" s="206">
        <f t="shared" si="26"/>
        <v>6.3301120928520218</v>
      </c>
      <c r="J78" s="207">
        <f t="shared" si="3"/>
        <v>240.54425952837684</v>
      </c>
      <c r="K78" s="214">
        <f>+$G78*H78</f>
        <v>130.92077069735689</v>
      </c>
      <c r="L78" s="213">
        <f t="shared" si="29"/>
        <v>109.62348883101996</v>
      </c>
      <c r="M78" s="210">
        <f t="shared" si="7"/>
        <v>5.5086296978632303</v>
      </c>
      <c r="N78" s="211">
        <f t="shared" si="8"/>
        <v>115.13211852888318</v>
      </c>
      <c r="O78" s="210">
        <f t="shared" si="9"/>
        <v>0</v>
      </c>
      <c r="P78" s="210">
        <f t="shared" si="10"/>
        <v>0</v>
      </c>
      <c r="Q78" s="210">
        <v>0</v>
      </c>
      <c r="R78" s="211">
        <f t="shared" si="11"/>
        <v>115.13211852888318</v>
      </c>
    </row>
    <row r="79" spans="1:18" s="230" customFormat="1" x14ac:dyDescent="0.25">
      <c r="A79" s="163">
        <v>12</v>
      </c>
      <c r="B79" s="228">
        <f t="shared" si="5"/>
        <v>43800</v>
      </c>
      <c r="C79" s="231">
        <f t="shared" si="27"/>
        <v>43833</v>
      </c>
      <c r="D79" s="231">
        <f t="shared" si="27"/>
        <v>43850</v>
      </c>
      <c r="E79" s="232" t="s">
        <v>86</v>
      </c>
      <c r="F79" s="174">
        <v>9</v>
      </c>
      <c r="G79" s="217">
        <v>38</v>
      </c>
      <c r="H79" s="218">
        <f t="shared" si="12"/>
        <v>3.4452834394041285</v>
      </c>
      <c r="I79" s="218">
        <f t="shared" si="26"/>
        <v>6.3301120928520218</v>
      </c>
      <c r="J79" s="219">
        <f t="shared" si="3"/>
        <v>240.54425952837684</v>
      </c>
      <c r="K79" s="220">
        <f>+$G79*H79</f>
        <v>130.92077069735689</v>
      </c>
      <c r="L79" s="221">
        <f t="shared" si="29"/>
        <v>109.62348883101996</v>
      </c>
      <c r="M79" s="210">
        <f t="shared" si="7"/>
        <v>5.5086296978632303</v>
      </c>
      <c r="N79" s="211">
        <f t="shared" si="8"/>
        <v>115.13211852888318</v>
      </c>
      <c r="O79" s="210">
        <f t="shared" si="9"/>
        <v>0</v>
      </c>
      <c r="P79" s="210">
        <f t="shared" si="10"/>
        <v>0</v>
      </c>
      <c r="Q79" s="210">
        <v>0</v>
      </c>
      <c r="R79" s="211">
        <f t="shared" si="11"/>
        <v>115.13211852888318</v>
      </c>
    </row>
    <row r="80" spans="1:18" s="52" customFormat="1" ht="12.75" customHeight="1" x14ac:dyDescent="0.25">
      <c r="A80" s="126">
        <v>1</v>
      </c>
      <c r="B80" s="202">
        <f t="shared" si="5"/>
        <v>43466</v>
      </c>
      <c r="C80" s="223">
        <f t="shared" ref="C80:D91" si="30">+C56</f>
        <v>43501</v>
      </c>
      <c r="D80" s="223">
        <f t="shared" si="30"/>
        <v>43516</v>
      </c>
      <c r="E80" s="204" t="s">
        <v>9</v>
      </c>
      <c r="F80" s="126">
        <v>9</v>
      </c>
      <c r="G80" s="205">
        <v>40</v>
      </c>
      <c r="H80" s="206">
        <f t="shared" ref="H80:H86" si="31">+$K$6</f>
        <v>3.4452834394041285</v>
      </c>
      <c r="I80" s="206">
        <f t="shared" si="26"/>
        <v>6.3301120928520218</v>
      </c>
      <c r="J80" s="207">
        <f t="shared" si="3"/>
        <v>253.20448371408088</v>
      </c>
      <c r="K80" s="208">
        <f t="shared" si="15"/>
        <v>137.81133757616513</v>
      </c>
      <c r="L80" s="209">
        <f t="shared" si="25"/>
        <v>115.39314613791575</v>
      </c>
      <c r="M80" s="210">
        <f t="shared" si="7"/>
        <v>5.798557576698137</v>
      </c>
      <c r="N80" s="211">
        <f t="shared" si="8"/>
        <v>121.19170371461388</v>
      </c>
      <c r="O80" s="210">
        <f t="shared" si="9"/>
        <v>0</v>
      </c>
      <c r="P80" s="210">
        <f t="shared" si="10"/>
        <v>0</v>
      </c>
      <c r="Q80" s="210">
        <v>0</v>
      </c>
      <c r="R80" s="211">
        <f t="shared" si="11"/>
        <v>121.19170371461388</v>
      </c>
    </row>
    <row r="81" spans="1:18" x14ac:dyDescent="0.25">
      <c r="A81" s="163">
        <v>2</v>
      </c>
      <c r="B81" s="202">
        <f t="shared" si="5"/>
        <v>43497</v>
      </c>
      <c r="C81" s="226">
        <f t="shared" si="30"/>
        <v>43529</v>
      </c>
      <c r="D81" s="226">
        <f t="shared" si="30"/>
        <v>43544</v>
      </c>
      <c r="E81" s="212" t="s">
        <v>9</v>
      </c>
      <c r="F81" s="163">
        <v>9</v>
      </c>
      <c r="G81" s="205">
        <v>40</v>
      </c>
      <c r="H81" s="206">
        <f t="shared" si="31"/>
        <v>3.4452834394041285</v>
      </c>
      <c r="I81" s="206">
        <f t="shared" si="26"/>
        <v>6.3301120928520218</v>
      </c>
      <c r="J81" s="207">
        <f t="shared" si="3"/>
        <v>253.20448371408088</v>
      </c>
      <c r="K81" s="208">
        <f t="shared" si="15"/>
        <v>137.81133757616513</v>
      </c>
      <c r="L81" s="209">
        <f t="shared" si="25"/>
        <v>115.39314613791575</v>
      </c>
      <c r="M81" s="210">
        <f t="shared" si="7"/>
        <v>5.798557576698137</v>
      </c>
      <c r="N81" s="211">
        <f t="shared" si="8"/>
        <v>121.19170371461388</v>
      </c>
      <c r="O81" s="210">
        <f t="shared" si="9"/>
        <v>0</v>
      </c>
      <c r="P81" s="210">
        <f t="shared" si="10"/>
        <v>0</v>
      </c>
      <c r="Q81" s="210">
        <v>0</v>
      </c>
      <c r="R81" s="211">
        <f t="shared" si="11"/>
        <v>121.19170371461388</v>
      </c>
    </row>
    <row r="82" spans="1:18" x14ac:dyDescent="0.25">
      <c r="A82" s="163">
        <v>3</v>
      </c>
      <c r="B82" s="202">
        <f t="shared" si="5"/>
        <v>43525</v>
      </c>
      <c r="C82" s="226">
        <f t="shared" si="30"/>
        <v>43558</v>
      </c>
      <c r="D82" s="226">
        <f t="shared" si="30"/>
        <v>43573</v>
      </c>
      <c r="E82" s="212" t="s">
        <v>9</v>
      </c>
      <c r="F82" s="163">
        <v>9</v>
      </c>
      <c r="G82" s="205">
        <v>43</v>
      </c>
      <c r="H82" s="206">
        <f t="shared" si="31"/>
        <v>3.4452834394041285</v>
      </c>
      <c r="I82" s="206">
        <f t="shared" si="26"/>
        <v>6.3301120928520218</v>
      </c>
      <c r="J82" s="207">
        <f t="shared" si="3"/>
        <v>272.19481999263695</v>
      </c>
      <c r="K82" s="208">
        <f t="shared" si="15"/>
        <v>148.14718789437754</v>
      </c>
      <c r="L82" s="209">
        <f>+J82-K82</f>
        <v>124.04763209825941</v>
      </c>
      <c r="M82" s="210">
        <f t="shared" si="7"/>
        <v>6.2334493949504974</v>
      </c>
      <c r="N82" s="211">
        <f t="shared" si="8"/>
        <v>130.28108149320991</v>
      </c>
      <c r="O82" s="210">
        <f t="shared" si="9"/>
        <v>0</v>
      </c>
      <c r="P82" s="210">
        <f t="shared" si="10"/>
        <v>0</v>
      </c>
      <c r="Q82" s="210">
        <v>0</v>
      </c>
      <c r="R82" s="211">
        <f t="shared" si="11"/>
        <v>130.28108149320991</v>
      </c>
    </row>
    <row r="83" spans="1:18" ht="12" customHeight="1" x14ac:dyDescent="0.25">
      <c r="A83" s="126">
        <v>4</v>
      </c>
      <c r="B83" s="202">
        <f t="shared" si="5"/>
        <v>43556</v>
      </c>
      <c r="C83" s="226">
        <f t="shared" si="30"/>
        <v>43588</v>
      </c>
      <c r="D83" s="226">
        <f t="shared" si="30"/>
        <v>43605</v>
      </c>
      <c r="E83" s="54" t="s">
        <v>9</v>
      </c>
      <c r="F83" s="163">
        <v>9</v>
      </c>
      <c r="G83" s="205">
        <v>27</v>
      </c>
      <c r="H83" s="206">
        <f t="shared" si="31"/>
        <v>3.4452834394041285</v>
      </c>
      <c r="I83" s="206">
        <f t="shared" si="26"/>
        <v>6.3301120928520218</v>
      </c>
      <c r="J83" s="207">
        <f t="shared" si="3"/>
        <v>170.91302650700459</v>
      </c>
      <c r="K83" s="208">
        <f t="shared" si="15"/>
        <v>93.022652863911475</v>
      </c>
      <c r="L83" s="209">
        <f t="shared" ref="L83:L93" si="32">+J83-K83</f>
        <v>77.890373643093113</v>
      </c>
      <c r="M83" s="210">
        <f t="shared" si="7"/>
        <v>3.9140263642712427</v>
      </c>
      <c r="N83" s="211">
        <f t="shared" si="8"/>
        <v>81.80440000736435</v>
      </c>
      <c r="O83" s="210">
        <f t="shared" si="9"/>
        <v>0</v>
      </c>
      <c r="P83" s="210">
        <f t="shared" si="10"/>
        <v>0</v>
      </c>
      <c r="Q83" s="210">
        <v>0</v>
      </c>
      <c r="R83" s="211">
        <f t="shared" si="11"/>
        <v>81.80440000736435</v>
      </c>
    </row>
    <row r="84" spans="1:18" ht="12" customHeight="1" x14ac:dyDescent="0.25">
      <c r="A84" s="163">
        <v>5</v>
      </c>
      <c r="B84" s="202">
        <f t="shared" si="5"/>
        <v>43586</v>
      </c>
      <c r="C84" s="226">
        <f t="shared" si="30"/>
        <v>43621</v>
      </c>
      <c r="D84" s="226">
        <f t="shared" si="30"/>
        <v>43636</v>
      </c>
      <c r="E84" s="54" t="s">
        <v>9</v>
      </c>
      <c r="F84" s="163">
        <v>9</v>
      </c>
      <c r="G84" s="205">
        <v>33</v>
      </c>
      <c r="H84" s="206">
        <f t="shared" si="31"/>
        <v>3.4452834394041285</v>
      </c>
      <c r="I84" s="206">
        <f t="shared" si="26"/>
        <v>6.3301120928520218</v>
      </c>
      <c r="J84" s="207">
        <f t="shared" si="3"/>
        <v>208.89369906411673</v>
      </c>
      <c r="K84" s="208">
        <f t="shared" si="15"/>
        <v>113.69435350033623</v>
      </c>
      <c r="L84" s="209">
        <f t="shared" si="32"/>
        <v>95.199345563780497</v>
      </c>
      <c r="M84" s="210">
        <f t="shared" si="7"/>
        <v>4.7838100007759632</v>
      </c>
      <c r="N84" s="211">
        <f t="shared" si="8"/>
        <v>99.983155564556455</v>
      </c>
      <c r="O84" s="210">
        <f t="shared" si="9"/>
        <v>0</v>
      </c>
      <c r="P84" s="210">
        <f t="shared" si="10"/>
        <v>0</v>
      </c>
      <c r="Q84" s="210">
        <v>0</v>
      </c>
      <c r="R84" s="211">
        <f t="shared" si="11"/>
        <v>99.983155564556455</v>
      </c>
    </row>
    <row r="85" spans="1:18" x14ac:dyDescent="0.25">
      <c r="A85" s="163">
        <v>6</v>
      </c>
      <c r="B85" s="202">
        <f t="shared" si="5"/>
        <v>43617</v>
      </c>
      <c r="C85" s="226">
        <f t="shared" si="30"/>
        <v>43649</v>
      </c>
      <c r="D85" s="226">
        <f t="shared" si="30"/>
        <v>43664</v>
      </c>
      <c r="E85" s="54" t="s">
        <v>9</v>
      </c>
      <c r="F85" s="163">
        <v>9</v>
      </c>
      <c r="G85" s="205">
        <v>39</v>
      </c>
      <c r="H85" s="206">
        <f t="shared" si="31"/>
        <v>3.4452834394041285</v>
      </c>
      <c r="I85" s="206">
        <f t="shared" si="26"/>
        <v>6.3301120928520218</v>
      </c>
      <c r="J85" s="207">
        <f t="shared" si="3"/>
        <v>246.87437162122885</v>
      </c>
      <c r="K85" s="208">
        <f t="shared" si="15"/>
        <v>134.36605413676102</v>
      </c>
      <c r="L85" s="213">
        <f t="shared" si="32"/>
        <v>112.50831748446782</v>
      </c>
      <c r="M85" s="210">
        <f t="shared" ref="M85:M148" si="33">G85/$G$212*$M$14</f>
        <v>5.6535936372806841</v>
      </c>
      <c r="N85" s="211">
        <f t="shared" ref="N85:N148" si="34">SUM(L85:M85)</f>
        <v>118.1619111217485</v>
      </c>
      <c r="O85" s="210">
        <f t="shared" ref="O85:O148" si="35">+$P$3</f>
        <v>0</v>
      </c>
      <c r="P85" s="210">
        <f t="shared" ref="P85:P148" si="36">+G85*O85</f>
        <v>0</v>
      </c>
      <c r="Q85" s="210">
        <v>0</v>
      </c>
      <c r="R85" s="211">
        <f t="shared" ref="R85:R148" si="37">+N85-Q85</f>
        <v>118.1619111217485</v>
      </c>
    </row>
    <row r="86" spans="1:18" x14ac:dyDescent="0.25">
      <c r="A86" s="126">
        <v>7</v>
      </c>
      <c r="B86" s="202">
        <f t="shared" si="5"/>
        <v>43647</v>
      </c>
      <c r="C86" s="226">
        <f t="shared" si="30"/>
        <v>43682</v>
      </c>
      <c r="D86" s="226">
        <f t="shared" si="30"/>
        <v>43697</v>
      </c>
      <c r="E86" s="54" t="s">
        <v>9</v>
      </c>
      <c r="F86" s="163">
        <v>9</v>
      </c>
      <c r="G86" s="205">
        <v>39</v>
      </c>
      <c r="H86" s="206">
        <f t="shared" si="31"/>
        <v>3.4452834394041285</v>
      </c>
      <c r="I86" s="206">
        <f t="shared" si="26"/>
        <v>6.3301120928520218</v>
      </c>
      <c r="J86" s="207">
        <f t="shared" si="3"/>
        <v>246.87437162122885</v>
      </c>
      <c r="K86" s="214">
        <f t="shared" si="15"/>
        <v>134.36605413676102</v>
      </c>
      <c r="L86" s="213">
        <f t="shared" si="32"/>
        <v>112.50831748446782</v>
      </c>
      <c r="M86" s="210">
        <f t="shared" si="33"/>
        <v>5.6535936372806841</v>
      </c>
      <c r="N86" s="211">
        <f t="shared" si="34"/>
        <v>118.1619111217485</v>
      </c>
      <c r="O86" s="210">
        <f t="shared" si="35"/>
        <v>0</v>
      </c>
      <c r="P86" s="210">
        <f t="shared" si="36"/>
        <v>0</v>
      </c>
      <c r="Q86" s="210">
        <v>0</v>
      </c>
      <c r="R86" s="211">
        <f t="shared" si="37"/>
        <v>118.1619111217485</v>
      </c>
    </row>
    <row r="87" spans="1:18" x14ac:dyDescent="0.25">
      <c r="A87" s="163">
        <v>8</v>
      </c>
      <c r="B87" s="202">
        <f t="shared" si="5"/>
        <v>43678</v>
      </c>
      <c r="C87" s="226">
        <f t="shared" si="30"/>
        <v>43712</v>
      </c>
      <c r="D87" s="226">
        <f t="shared" si="30"/>
        <v>43727</v>
      </c>
      <c r="E87" s="54" t="s">
        <v>9</v>
      </c>
      <c r="F87" s="163">
        <v>9</v>
      </c>
      <c r="G87" s="205">
        <v>43</v>
      </c>
      <c r="H87" s="206">
        <f t="shared" ref="H87:H91" si="38">$K$3</f>
        <v>3.4452834394041285</v>
      </c>
      <c r="I87" s="206">
        <f t="shared" si="26"/>
        <v>6.3301120928520218</v>
      </c>
      <c r="J87" s="207">
        <f t="shared" si="3"/>
        <v>272.19481999263695</v>
      </c>
      <c r="K87" s="214">
        <f t="shared" si="15"/>
        <v>148.14718789437754</v>
      </c>
      <c r="L87" s="213">
        <f t="shared" si="32"/>
        <v>124.04763209825941</v>
      </c>
      <c r="M87" s="210">
        <f t="shared" si="33"/>
        <v>6.2334493949504974</v>
      </c>
      <c r="N87" s="211">
        <f t="shared" si="34"/>
        <v>130.28108149320991</v>
      </c>
      <c r="O87" s="210">
        <f t="shared" si="35"/>
        <v>0</v>
      </c>
      <c r="P87" s="210">
        <f t="shared" si="36"/>
        <v>0</v>
      </c>
      <c r="Q87" s="210">
        <v>0</v>
      </c>
      <c r="R87" s="211">
        <f t="shared" si="37"/>
        <v>130.28108149320991</v>
      </c>
    </row>
    <row r="88" spans="1:18" x14ac:dyDescent="0.25">
      <c r="A88" s="163">
        <v>9</v>
      </c>
      <c r="B88" s="202">
        <f t="shared" si="5"/>
        <v>43709</v>
      </c>
      <c r="C88" s="226">
        <f t="shared" si="30"/>
        <v>43741</v>
      </c>
      <c r="D88" s="226">
        <f t="shared" si="30"/>
        <v>43756</v>
      </c>
      <c r="E88" s="54" t="s">
        <v>9</v>
      </c>
      <c r="F88" s="163">
        <v>9</v>
      </c>
      <c r="G88" s="205">
        <v>40</v>
      </c>
      <c r="H88" s="206">
        <f t="shared" si="38"/>
        <v>3.4452834394041285</v>
      </c>
      <c r="I88" s="206">
        <f t="shared" si="26"/>
        <v>6.3301120928520218</v>
      </c>
      <c r="J88" s="207">
        <f t="shared" si="3"/>
        <v>253.20448371408088</v>
      </c>
      <c r="K88" s="214">
        <f t="shared" si="15"/>
        <v>137.81133757616513</v>
      </c>
      <c r="L88" s="213">
        <f t="shared" si="32"/>
        <v>115.39314613791575</v>
      </c>
      <c r="M88" s="210">
        <f t="shared" si="33"/>
        <v>5.798557576698137</v>
      </c>
      <c r="N88" s="211">
        <f t="shared" si="34"/>
        <v>121.19170371461388</v>
      </c>
      <c r="O88" s="210">
        <f t="shared" si="35"/>
        <v>0</v>
      </c>
      <c r="P88" s="210">
        <f t="shared" si="36"/>
        <v>0</v>
      </c>
      <c r="Q88" s="210">
        <v>0</v>
      </c>
      <c r="R88" s="211">
        <f t="shared" si="37"/>
        <v>121.19170371461388</v>
      </c>
    </row>
    <row r="89" spans="1:18" x14ac:dyDescent="0.25">
      <c r="A89" s="126">
        <v>10</v>
      </c>
      <c r="B89" s="202">
        <f t="shared" si="5"/>
        <v>43739</v>
      </c>
      <c r="C89" s="226">
        <f t="shared" si="30"/>
        <v>43774</v>
      </c>
      <c r="D89" s="226">
        <f t="shared" si="30"/>
        <v>43789</v>
      </c>
      <c r="E89" s="54" t="s">
        <v>9</v>
      </c>
      <c r="F89" s="163">
        <v>9</v>
      </c>
      <c r="G89" s="205">
        <v>30</v>
      </c>
      <c r="H89" s="206">
        <f t="shared" si="38"/>
        <v>3.4452834394041285</v>
      </c>
      <c r="I89" s="206">
        <f t="shared" si="26"/>
        <v>6.3301120928520218</v>
      </c>
      <c r="J89" s="207">
        <f t="shared" si="3"/>
        <v>189.90336278556066</v>
      </c>
      <c r="K89" s="214">
        <f t="shared" si="15"/>
        <v>103.35850318212385</v>
      </c>
      <c r="L89" s="213">
        <f t="shared" si="32"/>
        <v>86.544859603436805</v>
      </c>
      <c r="M89" s="210">
        <f t="shared" si="33"/>
        <v>4.3489181825236027</v>
      </c>
      <c r="N89" s="211">
        <f t="shared" si="34"/>
        <v>90.89377778596041</v>
      </c>
      <c r="O89" s="210">
        <f t="shared" si="35"/>
        <v>0</v>
      </c>
      <c r="P89" s="210">
        <f t="shared" si="36"/>
        <v>0</v>
      </c>
      <c r="Q89" s="210">
        <v>0</v>
      </c>
      <c r="R89" s="211">
        <f t="shared" si="37"/>
        <v>90.89377778596041</v>
      </c>
    </row>
    <row r="90" spans="1:18" x14ac:dyDescent="0.25">
      <c r="A90" s="163">
        <v>11</v>
      </c>
      <c r="B90" s="202">
        <f t="shared" si="5"/>
        <v>43770</v>
      </c>
      <c r="C90" s="226">
        <f t="shared" si="30"/>
        <v>43803</v>
      </c>
      <c r="D90" s="226">
        <f t="shared" si="30"/>
        <v>43818</v>
      </c>
      <c r="E90" s="54" t="s">
        <v>9</v>
      </c>
      <c r="F90" s="163">
        <v>9</v>
      </c>
      <c r="G90" s="205">
        <v>37</v>
      </c>
      <c r="H90" s="206">
        <f t="shared" si="38"/>
        <v>3.4452834394041285</v>
      </c>
      <c r="I90" s="206">
        <f t="shared" si="26"/>
        <v>6.3301120928520218</v>
      </c>
      <c r="J90" s="207">
        <f t="shared" si="3"/>
        <v>234.21414743552481</v>
      </c>
      <c r="K90" s="214">
        <f t="shared" si="15"/>
        <v>127.47548725795275</v>
      </c>
      <c r="L90" s="213">
        <f t="shared" si="32"/>
        <v>106.73866017757206</v>
      </c>
      <c r="M90" s="210">
        <f t="shared" si="33"/>
        <v>5.3636657584457774</v>
      </c>
      <c r="N90" s="211">
        <f t="shared" si="34"/>
        <v>112.10232593601783</v>
      </c>
      <c r="O90" s="210">
        <f t="shared" si="35"/>
        <v>0</v>
      </c>
      <c r="P90" s="210">
        <f t="shared" si="36"/>
        <v>0</v>
      </c>
      <c r="Q90" s="210">
        <v>0</v>
      </c>
      <c r="R90" s="211">
        <f t="shared" si="37"/>
        <v>112.10232593601783</v>
      </c>
    </row>
    <row r="91" spans="1:18" s="230" customFormat="1" x14ac:dyDescent="0.25">
      <c r="A91" s="163">
        <v>12</v>
      </c>
      <c r="B91" s="228">
        <f t="shared" si="5"/>
        <v>43800</v>
      </c>
      <c r="C91" s="226">
        <f t="shared" si="30"/>
        <v>43833</v>
      </c>
      <c r="D91" s="226">
        <f t="shared" si="30"/>
        <v>43850</v>
      </c>
      <c r="E91" s="229" t="s">
        <v>9</v>
      </c>
      <c r="F91" s="174">
        <v>9</v>
      </c>
      <c r="G91" s="217">
        <v>41</v>
      </c>
      <c r="H91" s="218">
        <f t="shared" si="38"/>
        <v>3.4452834394041285</v>
      </c>
      <c r="I91" s="218">
        <f t="shared" si="26"/>
        <v>6.3301120928520218</v>
      </c>
      <c r="J91" s="219">
        <f t="shared" si="3"/>
        <v>259.53459580693288</v>
      </c>
      <c r="K91" s="220">
        <f t="shared" si="15"/>
        <v>141.25662101556927</v>
      </c>
      <c r="L91" s="221">
        <f t="shared" si="32"/>
        <v>118.27797479136362</v>
      </c>
      <c r="M91" s="210">
        <f t="shared" si="33"/>
        <v>5.9435215161155908</v>
      </c>
      <c r="N91" s="211">
        <f t="shared" si="34"/>
        <v>124.22149630747921</v>
      </c>
      <c r="O91" s="210">
        <f t="shared" si="35"/>
        <v>0</v>
      </c>
      <c r="P91" s="210">
        <f t="shared" si="36"/>
        <v>0</v>
      </c>
      <c r="Q91" s="210">
        <v>0</v>
      </c>
      <c r="R91" s="211">
        <f t="shared" si="37"/>
        <v>124.22149630747921</v>
      </c>
    </row>
    <row r="92" spans="1:18" x14ac:dyDescent="0.25">
      <c r="A92" s="126">
        <v>1</v>
      </c>
      <c r="B92" s="202">
        <f t="shared" si="5"/>
        <v>43466</v>
      </c>
      <c r="C92" s="223">
        <f t="shared" ref="C92:D95" si="39">+C80</f>
        <v>43501</v>
      </c>
      <c r="D92" s="223">
        <f t="shared" si="39"/>
        <v>43516</v>
      </c>
      <c r="E92" s="204" t="s">
        <v>8</v>
      </c>
      <c r="F92" s="126">
        <v>9</v>
      </c>
      <c r="G92" s="205">
        <v>76</v>
      </c>
      <c r="H92" s="206">
        <f t="shared" ref="H92:H98" si="40">+$K$6</f>
        <v>3.4452834394041285</v>
      </c>
      <c r="I92" s="206">
        <f t="shared" si="26"/>
        <v>6.3301120928520218</v>
      </c>
      <c r="J92" s="207">
        <f t="shared" si="3"/>
        <v>481.08851905675368</v>
      </c>
      <c r="K92" s="208">
        <f t="shared" si="15"/>
        <v>261.84154139471377</v>
      </c>
      <c r="L92" s="209">
        <f t="shared" si="32"/>
        <v>219.24697766203991</v>
      </c>
      <c r="M92" s="210">
        <f t="shared" si="33"/>
        <v>11.017259395726461</v>
      </c>
      <c r="N92" s="211">
        <f t="shared" si="34"/>
        <v>230.26423705776637</v>
      </c>
      <c r="O92" s="210">
        <f t="shared" si="35"/>
        <v>0</v>
      </c>
      <c r="P92" s="210">
        <f t="shared" si="36"/>
        <v>0</v>
      </c>
      <c r="Q92" s="210">
        <v>0</v>
      </c>
      <c r="R92" s="211">
        <f t="shared" si="37"/>
        <v>230.26423705776637</v>
      </c>
    </row>
    <row r="93" spans="1:18" x14ac:dyDescent="0.25">
      <c r="A93" s="163">
        <v>2</v>
      </c>
      <c r="B93" s="202">
        <f t="shared" si="5"/>
        <v>43497</v>
      </c>
      <c r="C93" s="226">
        <f t="shared" si="39"/>
        <v>43529</v>
      </c>
      <c r="D93" s="226">
        <f t="shared" si="39"/>
        <v>43544</v>
      </c>
      <c r="E93" s="212" t="s">
        <v>8</v>
      </c>
      <c r="F93" s="163">
        <v>9</v>
      </c>
      <c r="G93" s="205">
        <v>85</v>
      </c>
      <c r="H93" s="206">
        <f t="shared" si="40"/>
        <v>3.4452834394041285</v>
      </c>
      <c r="I93" s="206">
        <f t="shared" si="26"/>
        <v>6.3301120928520218</v>
      </c>
      <c r="J93" s="207">
        <f t="shared" si="3"/>
        <v>538.0595278924219</v>
      </c>
      <c r="K93" s="208">
        <f t="shared" si="15"/>
        <v>292.84909234935094</v>
      </c>
      <c r="L93" s="209">
        <f t="shared" si="32"/>
        <v>245.21043554307096</v>
      </c>
      <c r="M93" s="210">
        <f t="shared" si="33"/>
        <v>12.321934850483542</v>
      </c>
      <c r="N93" s="211">
        <f t="shared" si="34"/>
        <v>257.53237039355452</v>
      </c>
      <c r="O93" s="210">
        <f t="shared" si="35"/>
        <v>0</v>
      </c>
      <c r="P93" s="210">
        <f t="shared" si="36"/>
        <v>0</v>
      </c>
      <c r="Q93" s="210">
        <v>0</v>
      </c>
      <c r="R93" s="211">
        <f t="shared" si="37"/>
        <v>257.53237039355452</v>
      </c>
    </row>
    <row r="94" spans="1:18" x14ac:dyDescent="0.25">
      <c r="A94" s="163">
        <v>3</v>
      </c>
      <c r="B94" s="202">
        <f t="shared" si="5"/>
        <v>43525</v>
      </c>
      <c r="C94" s="226">
        <f t="shared" si="39"/>
        <v>43558</v>
      </c>
      <c r="D94" s="226">
        <f t="shared" si="39"/>
        <v>43573</v>
      </c>
      <c r="E94" s="212" t="s">
        <v>8</v>
      </c>
      <c r="F94" s="163">
        <v>9</v>
      </c>
      <c r="G94" s="205">
        <v>86</v>
      </c>
      <c r="H94" s="206">
        <f t="shared" si="40"/>
        <v>3.4452834394041285</v>
      </c>
      <c r="I94" s="206">
        <f t="shared" si="26"/>
        <v>6.3301120928520218</v>
      </c>
      <c r="J94" s="207">
        <f t="shared" si="3"/>
        <v>544.3896399852739</v>
      </c>
      <c r="K94" s="208">
        <f t="shared" ref="K94:K133" si="41">+$G94*H94</f>
        <v>296.29437578875508</v>
      </c>
      <c r="L94" s="209">
        <f>+J94-K94</f>
        <v>248.09526419651883</v>
      </c>
      <c r="M94" s="210">
        <f t="shared" si="33"/>
        <v>12.466898789900995</v>
      </c>
      <c r="N94" s="211">
        <f t="shared" si="34"/>
        <v>260.56216298641982</v>
      </c>
      <c r="O94" s="210">
        <f t="shared" si="35"/>
        <v>0</v>
      </c>
      <c r="P94" s="210">
        <f t="shared" si="36"/>
        <v>0</v>
      </c>
      <c r="Q94" s="210">
        <v>0</v>
      </c>
      <c r="R94" s="211">
        <f t="shared" si="37"/>
        <v>260.56216298641982</v>
      </c>
    </row>
    <row r="95" spans="1:18" x14ac:dyDescent="0.25">
      <c r="A95" s="126">
        <v>4</v>
      </c>
      <c r="B95" s="202">
        <f t="shared" si="5"/>
        <v>43556</v>
      </c>
      <c r="C95" s="226">
        <f t="shared" si="39"/>
        <v>43588</v>
      </c>
      <c r="D95" s="226">
        <f t="shared" si="39"/>
        <v>43605</v>
      </c>
      <c r="E95" s="212" t="s">
        <v>8</v>
      </c>
      <c r="F95" s="163">
        <v>9</v>
      </c>
      <c r="G95" s="205">
        <v>78</v>
      </c>
      <c r="H95" s="206">
        <f t="shared" si="40"/>
        <v>3.4452834394041285</v>
      </c>
      <c r="I95" s="206">
        <f t="shared" si="26"/>
        <v>6.3301120928520218</v>
      </c>
      <c r="J95" s="207">
        <f t="shared" si="3"/>
        <v>493.74874324245769</v>
      </c>
      <c r="K95" s="208">
        <f t="shared" si="41"/>
        <v>268.73210827352204</v>
      </c>
      <c r="L95" s="209">
        <f t="shared" ref="L95:L105" si="42">+J95-K95</f>
        <v>225.01663496893565</v>
      </c>
      <c r="M95" s="210">
        <f t="shared" si="33"/>
        <v>11.307187274561368</v>
      </c>
      <c r="N95" s="211">
        <f t="shared" si="34"/>
        <v>236.32382224349701</v>
      </c>
      <c r="O95" s="210">
        <f t="shared" si="35"/>
        <v>0</v>
      </c>
      <c r="P95" s="210">
        <f t="shared" si="36"/>
        <v>0</v>
      </c>
      <c r="Q95" s="210">
        <v>0</v>
      </c>
      <c r="R95" s="211">
        <f t="shared" si="37"/>
        <v>236.32382224349701</v>
      </c>
    </row>
    <row r="96" spans="1:18" x14ac:dyDescent="0.25">
      <c r="A96" s="163">
        <v>5</v>
      </c>
      <c r="B96" s="202">
        <f t="shared" si="5"/>
        <v>43586</v>
      </c>
      <c r="C96" s="226">
        <f t="shared" ref="C96:D116" si="43">+C84</f>
        <v>43621</v>
      </c>
      <c r="D96" s="226">
        <f t="shared" si="43"/>
        <v>43636</v>
      </c>
      <c r="E96" s="54" t="s">
        <v>8</v>
      </c>
      <c r="F96" s="163">
        <v>9</v>
      </c>
      <c r="G96" s="205">
        <v>92</v>
      </c>
      <c r="H96" s="206">
        <f t="shared" si="40"/>
        <v>3.4452834394041285</v>
      </c>
      <c r="I96" s="206">
        <f t="shared" si="26"/>
        <v>6.3301120928520218</v>
      </c>
      <c r="J96" s="207">
        <f t="shared" si="3"/>
        <v>582.37031254238605</v>
      </c>
      <c r="K96" s="208">
        <f t="shared" si="41"/>
        <v>316.96607642517984</v>
      </c>
      <c r="L96" s="209">
        <f t="shared" si="42"/>
        <v>265.40423611720621</v>
      </c>
      <c r="M96" s="210">
        <f t="shared" si="33"/>
        <v>13.336682426405716</v>
      </c>
      <c r="N96" s="211">
        <f t="shared" si="34"/>
        <v>278.74091854361194</v>
      </c>
      <c r="O96" s="210">
        <f t="shared" si="35"/>
        <v>0</v>
      </c>
      <c r="P96" s="210">
        <f t="shared" si="36"/>
        <v>0</v>
      </c>
      <c r="Q96" s="210">
        <v>0</v>
      </c>
      <c r="R96" s="211">
        <f t="shared" si="37"/>
        <v>278.74091854361194</v>
      </c>
    </row>
    <row r="97" spans="1:18" x14ac:dyDescent="0.25">
      <c r="A97" s="163">
        <v>6</v>
      </c>
      <c r="B97" s="202">
        <f t="shared" si="5"/>
        <v>43617</v>
      </c>
      <c r="C97" s="226">
        <f t="shared" si="43"/>
        <v>43649</v>
      </c>
      <c r="D97" s="226">
        <f t="shared" si="43"/>
        <v>43664</v>
      </c>
      <c r="E97" s="54" t="s">
        <v>8</v>
      </c>
      <c r="F97" s="163">
        <v>9</v>
      </c>
      <c r="G97" s="205">
        <v>138</v>
      </c>
      <c r="H97" s="206">
        <f t="shared" si="40"/>
        <v>3.4452834394041285</v>
      </c>
      <c r="I97" s="206">
        <f t="shared" si="26"/>
        <v>6.3301120928520218</v>
      </c>
      <c r="J97" s="207">
        <f t="shared" si="3"/>
        <v>873.55546881357895</v>
      </c>
      <c r="K97" s="208">
        <f t="shared" si="41"/>
        <v>475.44911463776975</v>
      </c>
      <c r="L97" s="213">
        <f t="shared" si="42"/>
        <v>398.1063541758092</v>
      </c>
      <c r="M97" s="210">
        <f t="shared" si="33"/>
        <v>20.005023639608574</v>
      </c>
      <c r="N97" s="211">
        <f t="shared" si="34"/>
        <v>418.11137781541777</v>
      </c>
      <c r="O97" s="210">
        <f t="shared" si="35"/>
        <v>0</v>
      </c>
      <c r="P97" s="210">
        <f t="shared" si="36"/>
        <v>0</v>
      </c>
      <c r="Q97" s="210">
        <v>0</v>
      </c>
      <c r="R97" s="211">
        <f t="shared" si="37"/>
        <v>418.11137781541777</v>
      </c>
    </row>
    <row r="98" spans="1:18" x14ac:dyDescent="0.25">
      <c r="A98" s="126">
        <v>7</v>
      </c>
      <c r="B98" s="202">
        <f t="shared" si="5"/>
        <v>43647</v>
      </c>
      <c r="C98" s="226">
        <f t="shared" si="43"/>
        <v>43682</v>
      </c>
      <c r="D98" s="226">
        <f t="shared" si="43"/>
        <v>43697</v>
      </c>
      <c r="E98" s="54" t="s">
        <v>8</v>
      </c>
      <c r="F98" s="163">
        <v>9</v>
      </c>
      <c r="G98" s="205">
        <v>147</v>
      </c>
      <c r="H98" s="206">
        <f t="shared" si="40"/>
        <v>3.4452834394041285</v>
      </c>
      <c r="I98" s="206">
        <f t="shared" si="26"/>
        <v>6.3301120928520218</v>
      </c>
      <c r="J98" s="207">
        <f t="shared" si="3"/>
        <v>930.52647764924723</v>
      </c>
      <c r="K98" s="214">
        <f t="shared" si="41"/>
        <v>506.45666559240686</v>
      </c>
      <c r="L98" s="213">
        <f t="shared" si="42"/>
        <v>424.06981205684036</v>
      </c>
      <c r="M98" s="210">
        <f t="shared" si="33"/>
        <v>21.309699094365655</v>
      </c>
      <c r="N98" s="211">
        <f t="shared" si="34"/>
        <v>445.37951115120603</v>
      </c>
      <c r="O98" s="210">
        <f t="shared" si="35"/>
        <v>0</v>
      </c>
      <c r="P98" s="210">
        <f t="shared" si="36"/>
        <v>0</v>
      </c>
      <c r="Q98" s="210">
        <v>0</v>
      </c>
      <c r="R98" s="211">
        <f t="shared" si="37"/>
        <v>445.37951115120603</v>
      </c>
    </row>
    <row r="99" spans="1:18" x14ac:dyDescent="0.25">
      <c r="A99" s="163">
        <v>8</v>
      </c>
      <c r="B99" s="202">
        <f t="shared" si="5"/>
        <v>43678</v>
      </c>
      <c r="C99" s="226">
        <f t="shared" si="43"/>
        <v>43712</v>
      </c>
      <c r="D99" s="226">
        <f t="shared" si="43"/>
        <v>43727</v>
      </c>
      <c r="E99" s="54" t="s">
        <v>8</v>
      </c>
      <c r="F99" s="163">
        <v>9</v>
      </c>
      <c r="G99" s="205">
        <v>156</v>
      </c>
      <c r="H99" s="206">
        <f t="shared" ref="H99:H103" si="44">$K$3</f>
        <v>3.4452834394041285</v>
      </c>
      <c r="I99" s="206">
        <f t="shared" si="26"/>
        <v>6.3301120928520218</v>
      </c>
      <c r="J99" s="207">
        <f t="shared" si="3"/>
        <v>987.49748648491538</v>
      </c>
      <c r="K99" s="214">
        <f t="shared" si="41"/>
        <v>537.46421654704409</v>
      </c>
      <c r="L99" s="213">
        <f t="shared" si="42"/>
        <v>450.0332699378713</v>
      </c>
      <c r="M99" s="210">
        <f t="shared" si="33"/>
        <v>22.614374549122736</v>
      </c>
      <c r="N99" s="211">
        <f t="shared" si="34"/>
        <v>472.64764448699401</v>
      </c>
      <c r="O99" s="210">
        <f t="shared" si="35"/>
        <v>0</v>
      </c>
      <c r="P99" s="210">
        <f t="shared" si="36"/>
        <v>0</v>
      </c>
      <c r="Q99" s="210">
        <v>0</v>
      </c>
      <c r="R99" s="211">
        <f t="shared" si="37"/>
        <v>472.64764448699401</v>
      </c>
    </row>
    <row r="100" spans="1:18" x14ac:dyDescent="0.25">
      <c r="A100" s="163">
        <v>9</v>
      </c>
      <c r="B100" s="202">
        <f t="shared" si="5"/>
        <v>43709</v>
      </c>
      <c r="C100" s="226">
        <f t="shared" si="43"/>
        <v>43741</v>
      </c>
      <c r="D100" s="226">
        <f t="shared" si="43"/>
        <v>43756</v>
      </c>
      <c r="E100" s="54" t="s">
        <v>8</v>
      </c>
      <c r="F100" s="163">
        <v>9</v>
      </c>
      <c r="G100" s="205">
        <v>140</v>
      </c>
      <c r="H100" s="206">
        <f t="shared" si="44"/>
        <v>3.4452834394041285</v>
      </c>
      <c r="I100" s="206">
        <f t="shared" si="26"/>
        <v>6.3301120928520218</v>
      </c>
      <c r="J100" s="207">
        <f t="shared" si="3"/>
        <v>886.21569299928308</v>
      </c>
      <c r="K100" s="214">
        <f t="shared" si="41"/>
        <v>482.33968151657797</v>
      </c>
      <c r="L100" s="213">
        <f t="shared" si="42"/>
        <v>403.87601148270511</v>
      </c>
      <c r="M100" s="210">
        <f t="shared" si="33"/>
        <v>20.294951518443479</v>
      </c>
      <c r="N100" s="211">
        <f t="shared" si="34"/>
        <v>424.17096300114861</v>
      </c>
      <c r="O100" s="210">
        <f t="shared" si="35"/>
        <v>0</v>
      </c>
      <c r="P100" s="210">
        <f t="shared" si="36"/>
        <v>0</v>
      </c>
      <c r="Q100" s="210">
        <v>0</v>
      </c>
      <c r="R100" s="211">
        <f t="shared" si="37"/>
        <v>424.17096300114861</v>
      </c>
    </row>
    <row r="101" spans="1:18" x14ac:dyDescent="0.25">
      <c r="A101" s="126">
        <v>10</v>
      </c>
      <c r="B101" s="202">
        <f t="shared" si="5"/>
        <v>43739</v>
      </c>
      <c r="C101" s="226">
        <f t="shared" si="43"/>
        <v>43774</v>
      </c>
      <c r="D101" s="226">
        <f t="shared" si="43"/>
        <v>43789</v>
      </c>
      <c r="E101" s="54" t="s">
        <v>8</v>
      </c>
      <c r="F101" s="163">
        <v>9</v>
      </c>
      <c r="G101" s="205">
        <v>125</v>
      </c>
      <c r="H101" s="206">
        <f t="shared" si="44"/>
        <v>3.4452834394041285</v>
      </c>
      <c r="I101" s="206">
        <f t="shared" si="26"/>
        <v>6.3301120928520218</v>
      </c>
      <c r="J101" s="207">
        <f t="shared" si="3"/>
        <v>791.26401160650278</v>
      </c>
      <c r="K101" s="214">
        <f t="shared" si="41"/>
        <v>430.66042992551604</v>
      </c>
      <c r="L101" s="213">
        <f t="shared" si="42"/>
        <v>360.60358168098674</v>
      </c>
      <c r="M101" s="210">
        <f t="shared" si="33"/>
        <v>18.120492427181681</v>
      </c>
      <c r="N101" s="211">
        <f t="shared" si="34"/>
        <v>378.7240741081684</v>
      </c>
      <c r="O101" s="210">
        <f t="shared" si="35"/>
        <v>0</v>
      </c>
      <c r="P101" s="210">
        <f t="shared" si="36"/>
        <v>0</v>
      </c>
      <c r="Q101" s="210">
        <v>0</v>
      </c>
      <c r="R101" s="211">
        <f t="shared" si="37"/>
        <v>378.7240741081684</v>
      </c>
    </row>
    <row r="102" spans="1:18" x14ac:dyDescent="0.25">
      <c r="A102" s="163">
        <v>11</v>
      </c>
      <c r="B102" s="202">
        <f t="shared" si="5"/>
        <v>43770</v>
      </c>
      <c r="C102" s="226">
        <f t="shared" si="43"/>
        <v>43803</v>
      </c>
      <c r="D102" s="226">
        <f t="shared" si="43"/>
        <v>43818</v>
      </c>
      <c r="E102" s="54" t="s">
        <v>8</v>
      </c>
      <c r="F102" s="163">
        <v>9</v>
      </c>
      <c r="G102" s="205">
        <v>79</v>
      </c>
      <c r="H102" s="206">
        <f t="shared" si="44"/>
        <v>3.4452834394041285</v>
      </c>
      <c r="I102" s="206">
        <f t="shared" si="26"/>
        <v>6.3301120928520218</v>
      </c>
      <c r="J102" s="207">
        <f t="shared" si="3"/>
        <v>500.0788553353097</v>
      </c>
      <c r="K102" s="214">
        <f t="shared" si="41"/>
        <v>272.17739171292618</v>
      </c>
      <c r="L102" s="213">
        <f t="shared" si="42"/>
        <v>227.90146362238352</v>
      </c>
      <c r="M102" s="210">
        <f t="shared" si="33"/>
        <v>11.452151213978821</v>
      </c>
      <c r="N102" s="211">
        <f t="shared" si="34"/>
        <v>239.35361483636234</v>
      </c>
      <c r="O102" s="210">
        <f t="shared" si="35"/>
        <v>0</v>
      </c>
      <c r="P102" s="210">
        <f t="shared" si="36"/>
        <v>0</v>
      </c>
      <c r="Q102" s="210">
        <v>0</v>
      </c>
      <c r="R102" s="211">
        <f t="shared" si="37"/>
        <v>239.35361483636234</v>
      </c>
    </row>
    <row r="103" spans="1:18" s="230" customFormat="1" x14ac:dyDescent="0.25">
      <c r="A103" s="163">
        <v>12</v>
      </c>
      <c r="B103" s="228">
        <f t="shared" si="5"/>
        <v>43800</v>
      </c>
      <c r="C103" s="226">
        <f t="shared" si="43"/>
        <v>43833</v>
      </c>
      <c r="D103" s="226">
        <f t="shared" si="43"/>
        <v>43850</v>
      </c>
      <c r="E103" s="229" t="s">
        <v>8</v>
      </c>
      <c r="F103" s="174">
        <v>9</v>
      </c>
      <c r="G103" s="217">
        <v>81</v>
      </c>
      <c r="H103" s="218">
        <f t="shared" si="44"/>
        <v>3.4452834394041285</v>
      </c>
      <c r="I103" s="218">
        <f t="shared" si="26"/>
        <v>6.3301120928520218</v>
      </c>
      <c r="J103" s="219">
        <f t="shared" si="3"/>
        <v>512.73907952101376</v>
      </c>
      <c r="K103" s="220">
        <f t="shared" si="41"/>
        <v>279.0679585917344</v>
      </c>
      <c r="L103" s="221">
        <f t="shared" si="42"/>
        <v>233.67112092927937</v>
      </c>
      <c r="M103" s="210">
        <f t="shared" si="33"/>
        <v>11.742079092813727</v>
      </c>
      <c r="N103" s="211">
        <f t="shared" si="34"/>
        <v>245.41320002209309</v>
      </c>
      <c r="O103" s="210">
        <f t="shared" si="35"/>
        <v>0</v>
      </c>
      <c r="P103" s="210">
        <f t="shared" si="36"/>
        <v>0</v>
      </c>
      <c r="Q103" s="210">
        <v>0</v>
      </c>
      <c r="R103" s="211">
        <f t="shared" si="37"/>
        <v>245.41320002209309</v>
      </c>
    </row>
    <row r="104" spans="1:18" x14ac:dyDescent="0.25">
      <c r="A104" s="126">
        <v>1</v>
      </c>
      <c r="B104" s="202">
        <f t="shared" si="5"/>
        <v>43466</v>
      </c>
      <c r="C104" s="223">
        <f t="shared" si="43"/>
        <v>43501</v>
      </c>
      <c r="D104" s="223">
        <f t="shared" si="43"/>
        <v>43516</v>
      </c>
      <c r="E104" s="204" t="s">
        <v>19</v>
      </c>
      <c r="F104" s="126">
        <v>9</v>
      </c>
      <c r="G104" s="205">
        <v>43</v>
      </c>
      <c r="H104" s="206">
        <f t="shared" ref="H104:H110" si="45">+$K$6</f>
        <v>3.4452834394041285</v>
      </c>
      <c r="I104" s="206">
        <f t="shared" si="26"/>
        <v>6.3301120928520218</v>
      </c>
      <c r="J104" s="207">
        <f t="shared" si="3"/>
        <v>272.19481999263695</v>
      </c>
      <c r="K104" s="208">
        <f t="shared" si="41"/>
        <v>148.14718789437754</v>
      </c>
      <c r="L104" s="209">
        <f t="shared" si="42"/>
        <v>124.04763209825941</v>
      </c>
      <c r="M104" s="210">
        <f t="shared" si="33"/>
        <v>6.2334493949504974</v>
      </c>
      <c r="N104" s="211">
        <f t="shared" si="34"/>
        <v>130.28108149320991</v>
      </c>
      <c r="O104" s="210">
        <f t="shared" si="35"/>
        <v>0</v>
      </c>
      <c r="P104" s="210">
        <f t="shared" si="36"/>
        <v>0</v>
      </c>
      <c r="Q104" s="210">
        <v>0</v>
      </c>
      <c r="R104" s="211">
        <f t="shared" si="37"/>
        <v>130.28108149320991</v>
      </c>
    </row>
    <row r="105" spans="1:18" x14ac:dyDescent="0.25">
      <c r="A105" s="163">
        <v>2</v>
      </c>
      <c r="B105" s="202">
        <f t="shared" si="5"/>
        <v>43497</v>
      </c>
      <c r="C105" s="226">
        <f t="shared" si="43"/>
        <v>43529</v>
      </c>
      <c r="D105" s="226">
        <f t="shared" si="43"/>
        <v>43544</v>
      </c>
      <c r="E105" s="212" t="s">
        <v>19</v>
      </c>
      <c r="F105" s="163">
        <v>9</v>
      </c>
      <c r="G105" s="205">
        <v>37</v>
      </c>
      <c r="H105" s="206">
        <f t="shared" si="45"/>
        <v>3.4452834394041285</v>
      </c>
      <c r="I105" s="206">
        <f t="shared" si="26"/>
        <v>6.3301120928520218</v>
      </c>
      <c r="J105" s="207">
        <f t="shared" si="3"/>
        <v>234.21414743552481</v>
      </c>
      <c r="K105" s="208">
        <f t="shared" si="41"/>
        <v>127.47548725795275</v>
      </c>
      <c r="L105" s="209">
        <f t="shared" si="42"/>
        <v>106.73866017757206</v>
      </c>
      <c r="M105" s="210">
        <f t="shared" si="33"/>
        <v>5.3636657584457774</v>
      </c>
      <c r="N105" s="211">
        <f t="shared" si="34"/>
        <v>112.10232593601783</v>
      </c>
      <c r="O105" s="210">
        <f t="shared" si="35"/>
        <v>0</v>
      </c>
      <c r="P105" s="210">
        <f t="shared" si="36"/>
        <v>0</v>
      </c>
      <c r="Q105" s="210">
        <v>0</v>
      </c>
      <c r="R105" s="211">
        <f t="shared" si="37"/>
        <v>112.10232593601783</v>
      </c>
    </row>
    <row r="106" spans="1:18" x14ac:dyDescent="0.25">
      <c r="A106" s="163">
        <v>3</v>
      </c>
      <c r="B106" s="202">
        <f t="shared" si="5"/>
        <v>43525</v>
      </c>
      <c r="C106" s="226">
        <f t="shared" si="43"/>
        <v>43558</v>
      </c>
      <c r="D106" s="226">
        <f t="shared" si="43"/>
        <v>43573</v>
      </c>
      <c r="E106" s="212" t="s">
        <v>19</v>
      </c>
      <c r="F106" s="163">
        <v>9</v>
      </c>
      <c r="G106" s="205">
        <v>40</v>
      </c>
      <c r="H106" s="206">
        <f t="shared" si="45"/>
        <v>3.4452834394041285</v>
      </c>
      <c r="I106" s="206">
        <f t="shared" si="26"/>
        <v>6.3301120928520218</v>
      </c>
      <c r="J106" s="207">
        <f t="shared" si="3"/>
        <v>253.20448371408088</v>
      </c>
      <c r="K106" s="208">
        <f t="shared" si="41"/>
        <v>137.81133757616513</v>
      </c>
      <c r="L106" s="209">
        <f>+J106-K106</f>
        <v>115.39314613791575</v>
      </c>
      <c r="M106" s="210">
        <f t="shared" si="33"/>
        <v>5.798557576698137</v>
      </c>
      <c r="N106" s="211">
        <f t="shared" si="34"/>
        <v>121.19170371461388</v>
      </c>
      <c r="O106" s="210">
        <f t="shared" si="35"/>
        <v>0</v>
      </c>
      <c r="P106" s="210">
        <f t="shared" si="36"/>
        <v>0</v>
      </c>
      <c r="Q106" s="210">
        <v>0</v>
      </c>
      <c r="R106" s="211">
        <f t="shared" si="37"/>
        <v>121.19170371461388</v>
      </c>
    </row>
    <row r="107" spans="1:18" x14ac:dyDescent="0.25">
      <c r="A107" s="126">
        <v>4</v>
      </c>
      <c r="B107" s="202">
        <f t="shared" si="5"/>
        <v>43556</v>
      </c>
      <c r="C107" s="226">
        <f t="shared" si="43"/>
        <v>43588</v>
      </c>
      <c r="D107" s="226">
        <f t="shared" si="43"/>
        <v>43605</v>
      </c>
      <c r="E107" s="54" t="s">
        <v>19</v>
      </c>
      <c r="F107" s="163">
        <v>9</v>
      </c>
      <c r="G107" s="205">
        <v>36</v>
      </c>
      <c r="H107" s="206">
        <f t="shared" si="45"/>
        <v>3.4452834394041285</v>
      </c>
      <c r="I107" s="206">
        <f t="shared" si="26"/>
        <v>6.3301120928520218</v>
      </c>
      <c r="J107" s="207">
        <f t="shared" si="3"/>
        <v>227.88403534267277</v>
      </c>
      <c r="K107" s="208">
        <f t="shared" si="41"/>
        <v>124.03020381854863</v>
      </c>
      <c r="L107" s="209">
        <f t="shared" ref="L107:L115" si="46">+J107-K107</f>
        <v>103.85383152412415</v>
      </c>
      <c r="M107" s="210">
        <f t="shared" si="33"/>
        <v>5.2187018190283236</v>
      </c>
      <c r="N107" s="211">
        <f t="shared" si="34"/>
        <v>109.07253334315247</v>
      </c>
      <c r="O107" s="210">
        <f t="shared" si="35"/>
        <v>0</v>
      </c>
      <c r="P107" s="210">
        <f t="shared" si="36"/>
        <v>0</v>
      </c>
      <c r="Q107" s="210">
        <v>0</v>
      </c>
      <c r="R107" s="211">
        <f t="shared" si="37"/>
        <v>109.07253334315247</v>
      </c>
    </row>
    <row r="108" spans="1:18" x14ac:dyDescent="0.25">
      <c r="A108" s="163">
        <v>5</v>
      </c>
      <c r="B108" s="202">
        <f t="shared" si="5"/>
        <v>43586</v>
      </c>
      <c r="C108" s="226">
        <f t="shared" si="43"/>
        <v>43621</v>
      </c>
      <c r="D108" s="226">
        <f t="shared" si="43"/>
        <v>43636</v>
      </c>
      <c r="E108" s="54" t="s">
        <v>19</v>
      </c>
      <c r="F108" s="163">
        <v>9</v>
      </c>
      <c r="G108" s="205">
        <v>41</v>
      </c>
      <c r="H108" s="206">
        <f t="shared" si="45"/>
        <v>3.4452834394041285</v>
      </c>
      <c r="I108" s="206">
        <f t="shared" ref="I108:I127" si="47">$J$3</f>
        <v>6.3301120928520218</v>
      </c>
      <c r="J108" s="207">
        <f t="shared" si="3"/>
        <v>259.53459580693288</v>
      </c>
      <c r="K108" s="208">
        <f t="shared" si="41"/>
        <v>141.25662101556927</v>
      </c>
      <c r="L108" s="209">
        <f t="shared" si="46"/>
        <v>118.27797479136362</v>
      </c>
      <c r="M108" s="210">
        <f t="shared" si="33"/>
        <v>5.9435215161155908</v>
      </c>
      <c r="N108" s="211">
        <f t="shared" si="34"/>
        <v>124.22149630747921</v>
      </c>
      <c r="O108" s="210">
        <f t="shared" si="35"/>
        <v>0</v>
      </c>
      <c r="P108" s="210">
        <f t="shared" si="36"/>
        <v>0</v>
      </c>
      <c r="Q108" s="210">
        <v>0</v>
      </c>
      <c r="R108" s="211">
        <f t="shared" si="37"/>
        <v>124.22149630747921</v>
      </c>
    </row>
    <row r="109" spans="1:18" x14ac:dyDescent="0.25">
      <c r="A109" s="163">
        <v>6</v>
      </c>
      <c r="B109" s="202">
        <f t="shared" ref="B109:B148" si="48">DATE($R$1,A109,1)</f>
        <v>43617</v>
      </c>
      <c r="C109" s="226">
        <f t="shared" si="43"/>
        <v>43649</v>
      </c>
      <c r="D109" s="226">
        <f t="shared" si="43"/>
        <v>43664</v>
      </c>
      <c r="E109" s="54" t="s">
        <v>19</v>
      </c>
      <c r="F109" s="163">
        <v>9</v>
      </c>
      <c r="G109" s="205">
        <v>40</v>
      </c>
      <c r="H109" s="206">
        <f t="shared" si="45"/>
        <v>3.4452834394041285</v>
      </c>
      <c r="I109" s="206">
        <f t="shared" si="47"/>
        <v>6.3301120928520218</v>
      </c>
      <c r="J109" s="207">
        <f t="shared" ref="J109:J148" si="49">+$G109*I109</f>
        <v>253.20448371408088</v>
      </c>
      <c r="K109" s="208">
        <f t="shared" si="41"/>
        <v>137.81133757616513</v>
      </c>
      <c r="L109" s="213">
        <f t="shared" si="46"/>
        <v>115.39314613791575</v>
      </c>
      <c r="M109" s="210">
        <f t="shared" si="33"/>
        <v>5.798557576698137</v>
      </c>
      <c r="N109" s="211">
        <f t="shared" si="34"/>
        <v>121.19170371461388</v>
      </c>
      <c r="O109" s="210">
        <f t="shared" si="35"/>
        <v>0</v>
      </c>
      <c r="P109" s="210">
        <f t="shared" si="36"/>
        <v>0</v>
      </c>
      <c r="Q109" s="210">
        <v>0</v>
      </c>
      <c r="R109" s="211">
        <f t="shared" si="37"/>
        <v>121.19170371461388</v>
      </c>
    </row>
    <row r="110" spans="1:18" x14ac:dyDescent="0.25">
      <c r="A110" s="126">
        <v>7</v>
      </c>
      <c r="B110" s="202">
        <f t="shared" si="48"/>
        <v>43647</v>
      </c>
      <c r="C110" s="226">
        <f t="shared" si="43"/>
        <v>43682</v>
      </c>
      <c r="D110" s="226">
        <f t="shared" si="43"/>
        <v>43697</v>
      </c>
      <c r="E110" s="54" t="s">
        <v>19</v>
      </c>
      <c r="F110" s="163">
        <v>9</v>
      </c>
      <c r="G110" s="205">
        <v>46</v>
      </c>
      <c r="H110" s="206">
        <f t="shared" si="45"/>
        <v>3.4452834394041285</v>
      </c>
      <c r="I110" s="206">
        <f t="shared" si="47"/>
        <v>6.3301120928520218</v>
      </c>
      <c r="J110" s="207">
        <f t="shared" si="49"/>
        <v>291.18515627119302</v>
      </c>
      <c r="K110" s="214">
        <f t="shared" si="41"/>
        <v>158.48303821258992</v>
      </c>
      <c r="L110" s="213">
        <f t="shared" si="46"/>
        <v>132.70211805860311</v>
      </c>
      <c r="M110" s="210">
        <f t="shared" si="33"/>
        <v>6.6683412132028579</v>
      </c>
      <c r="N110" s="211">
        <f t="shared" si="34"/>
        <v>139.37045927180597</v>
      </c>
      <c r="O110" s="210">
        <f t="shared" si="35"/>
        <v>0</v>
      </c>
      <c r="P110" s="210">
        <f t="shared" si="36"/>
        <v>0</v>
      </c>
      <c r="Q110" s="210">
        <v>0</v>
      </c>
      <c r="R110" s="211">
        <f t="shared" si="37"/>
        <v>139.37045927180597</v>
      </c>
    </row>
    <row r="111" spans="1:18" x14ac:dyDescent="0.25">
      <c r="A111" s="163">
        <v>8</v>
      </c>
      <c r="B111" s="202">
        <f t="shared" si="48"/>
        <v>43678</v>
      </c>
      <c r="C111" s="226">
        <f t="shared" si="43"/>
        <v>43712</v>
      </c>
      <c r="D111" s="226">
        <f t="shared" si="43"/>
        <v>43727</v>
      </c>
      <c r="E111" s="54" t="s">
        <v>19</v>
      </c>
      <c r="F111" s="163">
        <v>9</v>
      </c>
      <c r="G111" s="205">
        <v>47</v>
      </c>
      <c r="H111" s="206">
        <f t="shared" ref="H111:H115" si="50">$K$3</f>
        <v>3.4452834394041285</v>
      </c>
      <c r="I111" s="206">
        <f t="shared" si="47"/>
        <v>6.3301120928520218</v>
      </c>
      <c r="J111" s="207">
        <f t="shared" si="49"/>
        <v>297.51526836404503</v>
      </c>
      <c r="K111" s="214">
        <f t="shared" si="41"/>
        <v>161.92832165199405</v>
      </c>
      <c r="L111" s="213">
        <f t="shared" si="46"/>
        <v>135.58694671205097</v>
      </c>
      <c r="M111" s="210">
        <f t="shared" si="33"/>
        <v>6.8133051526203108</v>
      </c>
      <c r="N111" s="211">
        <f t="shared" si="34"/>
        <v>142.40025186467128</v>
      </c>
      <c r="O111" s="210">
        <f t="shared" si="35"/>
        <v>0</v>
      </c>
      <c r="P111" s="210">
        <f t="shared" si="36"/>
        <v>0</v>
      </c>
      <c r="Q111" s="210">
        <v>0</v>
      </c>
      <c r="R111" s="211">
        <f t="shared" si="37"/>
        <v>142.40025186467128</v>
      </c>
    </row>
    <row r="112" spans="1:18" x14ac:dyDescent="0.25">
      <c r="A112" s="163">
        <v>9</v>
      </c>
      <c r="B112" s="202">
        <f t="shared" si="48"/>
        <v>43709</v>
      </c>
      <c r="C112" s="226">
        <f t="shared" si="43"/>
        <v>43741</v>
      </c>
      <c r="D112" s="226">
        <f t="shared" si="43"/>
        <v>43756</v>
      </c>
      <c r="E112" s="54" t="s">
        <v>19</v>
      </c>
      <c r="F112" s="163">
        <v>9</v>
      </c>
      <c r="G112" s="205">
        <v>45</v>
      </c>
      <c r="H112" s="206">
        <f t="shared" si="50"/>
        <v>3.4452834394041285</v>
      </c>
      <c r="I112" s="206">
        <f t="shared" si="47"/>
        <v>6.3301120928520218</v>
      </c>
      <c r="J112" s="207">
        <f t="shared" si="49"/>
        <v>284.85504417834096</v>
      </c>
      <c r="K112" s="214">
        <f t="shared" si="41"/>
        <v>155.03775477318578</v>
      </c>
      <c r="L112" s="213">
        <f t="shared" si="46"/>
        <v>129.81728940515518</v>
      </c>
      <c r="M112" s="210">
        <f t="shared" si="33"/>
        <v>6.5233772737854041</v>
      </c>
      <c r="N112" s="211">
        <f t="shared" si="34"/>
        <v>136.34066667894058</v>
      </c>
      <c r="O112" s="210">
        <f t="shared" si="35"/>
        <v>0</v>
      </c>
      <c r="P112" s="210">
        <f t="shared" si="36"/>
        <v>0</v>
      </c>
      <c r="Q112" s="210">
        <v>0</v>
      </c>
      <c r="R112" s="211">
        <f t="shared" si="37"/>
        <v>136.34066667894058</v>
      </c>
    </row>
    <row r="113" spans="1:18" x14ac:dyDescent="0.25">
      <c r="A113" s="126">
        <v>10</v>
      </c>
      <c r="B113" s="202">
        <f t="shared" si="48"/>
        <v>43739</v>
      </c>
      <c r="C113" s="226">
        <f t="shared" si="43"/>
        <v>43774</v>
      </c>
      <c r="D113" s="226">
        <f t="shared" si="43"/>
        <v>43789</v>
      </c>
      <c r="E113" s="54" t="s">
        <v>19</v>
      </c>
      <c r="F113" s="163">
        <v>9</v>
      </c>
      <c r="G113" s="205">
        <v>42</v>
      </c>
      <c r="H113" s="206">
        <f t="shared" si="50"/>
        <v>3.4452834394041285</v>
      </c>
      <c r="I113" s="206">
        <f t="shared" si="47"/>
        <v>6.3301120928520218</v>
      </c>
      <c r="J113" s="207">
        <f t="shared" si="49"/>
        <v>265.86470789978489</v>
      </c>
      <c r="K113" s="214">
        <f t="shared" si="41"/>
        <v>144.7019044549734</v>
      </c>
      <c r="L113" s="213">
        <f t="shared" si="46"/>
        <v>121.16280344481149</v>
      </c>
      <c r="M113" s="210">
        <f t="shared" si="33"/>
        <v>6.0884854555330437</v>
      </c>
      <c r="N113" s="211">
        <f t="shared" si="34"/>
        <v>127.25128890034453</v>
      </c>
      <c r="O113" s="210">
        <f t="shared" si="35"/>
        <v>0</v>
      </c>
      <c r="P113" s="210">
        <f t="shared" si="36"/>
        <v>0</v>
      </c>
      <c r="Q113" s="210">
        <v>0</v>
      </c>
      <c r="R113" s="211">
        <f t="shared" si="37"/>
        <v>127.25128890034453</v>
      </c>
    </row>
    <row r="114" spans="1:18" x14ac:dyDescent="0.25">
      <c r="A114" s="163">
        <v>11</v>
      </c>
      <c r="B114" s="202">
        <f t="shared" si="48"/>
        <v>43770</v>
      </c>
      <c r="C114" s="226">
        <f t="shared" si="43"/>
        <v>43803</v>
      </c>
      <c r="D114" s="226">
        <f t="shared" si="43"/>
        <v>43818</v>
      </c>
      <c r="E114" s="54" t="s">
        <v>19</v>
      </c>
      <c r="F114" s="163">
        <v>9</v>
      </c>
      <c r="G114" s="205">
        <v>43</v>
      </c>
      <c r="H114" s="206">
        <f t="shared" si="50"/>
        <v>3.4452834394041285</v>
      </c>
      <c r="I114" s="206">
        <f t="shared" si="47"/>
        <v>6.3301120928520218</v>
      </c>
      <c r="J114" s="207">
        <f t="shared" si="49"/>
        <v>272.19481999263695</v>
      </c>
      <c r="K114" s="214">
        <f t="shared" si="41"/>
        <v>148.14718789437754</v>
      </c>
      <c r="L114" s="213">
        <f t="shared" si="46"/>
        <v>124.04763209825941</v>
      </c>
      <c r="M114" s="210">
        <f t="shared" si="33"/>
        <v>6.2334493949504974</v>
      </c>
      <c r="N114" s="211">
        <f t="shared" si="34"/>
        <v>130.28108149320991</v>
      </c>
      <c r="O114" s="210">
        <f t="shared" si="35"/>
        <v>0</v>
      </c>
      <c r="P114" s="210">
        <f t="shared" si="36"/>
        <v>0</v>
      </c>
      <c r="Q114" s="210">
        <v>0</v>
      </c>
      <c r="R114" s="211">
        <f t="shared" si="37"/>
        <v>130.28108149320991</v>
      </c>
    </row>
    <row r="115" spans="1:18" s="230" customFormat="1" x14ac:dyDescent="0.25">
      <c r="A115" s="163">
        <v>12</v>
      </c>
      <c r="B115" s="228">
        <f t="shared" si="48"/>
        <v>43800</v>
      </c>
      <c r="C115" s="231">
        <f t="shared" si="43"/>
        <v>43833</v>
      </c>
      <c r="D115" s="231">
        <f t="shared" si="43"/>
        <v>43850</v>
      </c>
      <c r="E115" s="229" t="s">
        <v>19</v>
      </c>
      <c r="F115" s="174">
        <v>9</v>
      </c>
      <c r="G115" s="217">
        <v>38</v>
      </c>
      <c r="H115" s="218">
        <f t="shared" si="50"/>
        <v>3.4452834394041285</v>
      </c>
      <c r="I115" s="218">
        <f t="shared" si="47"/>
        <v>6.3301120928520218</v>
      </c>
      <c r="J115" s="219">
        <f t="shared" si="49"/>
        <v>240.54425952837684</v>
      </c>
      <c r="K115" s="220">
        <f t="shared" si="41"/>
        <v>130.92077069735689</v>
      </c>
      <c r="L115" s="221">
        <f t="shared" si="46"/>
        <v>109.62348883101996</v>
      </c>
      <c r="M115" s="210">
        <f t="shared" si="33"/>
        <v>5.5086296978632303</v>
      </c>
      <c r="N115" s="211">
        <f t="shared" si="34"/>
        <v>115.13211852888318</v>
      </c>
      <c r="O115" s="210">
        <f t="shared" si="35"/>
        <v>0</v>
      </c>
      <c r="P115" s="210">
        <f t="shared" si="36"/>
        <v>0</v>
      </c>
      <c r="Q115" s="210">
        <v>0</v>
      </c>
      <c r="R115" s="211">
        <f t="shared" si="37"/>
        <v>115.13211852888318</v>
      </c>
    </row>
    <row r="116" spans="1:18" x14ac:dyDescent="0.25">
      <c r="A116" s="126">
        <v>1</v>
      </c>
      <c r="B116" s="202">
        <f t="shared" si="48"/>
        <v>43466</v>
      </c>
      <c r="C116" s="226">
        <f t="shared" si="43"/>
        <v>43501</v>
      </c>
      <c r="D116" s="226">
        <f t="shared" si="43"/>
        <v>43516</v>
      </c>
      <c r="E116" s="204" t="s">
        <v>13</v>
      </c>
      <c r="F116" s="126">
        <v>9</v>
      </c>
      <c r="G116" s="205">
        <v>988</v>
      </c>
      <c r="H116" s="206">
        <f t="shared" ref="H116:H122" si="51">+$K$6</f>
        <v>3.4452834394041285</v>
      </c>
      <c r="I116" s="206">
        <f t="shared" si="47"/>
        <v>6.3301120928520218</v>
      </c>
      <c r="J116" s="207">
        <f t="shared" si="49"/>
        <v>6254.1507477377972</v>
      </c>
      <c r="K116" s="208">
        <f t="shared" si="41"/>
        <v>3403.9400381312789</v>
      </c>
      <c r="L116" s="209">
        <f>+J116-K116</f>
        <v>2850.2107096065183</v>
      </c>
      <c r="M116" s="210">
        <f t="shared" si="33"/>
        <v>143.224372144444</v>
      </c>
      <c r="N116" s="211">
        <f t="shared" si="34"/>
        <v>2993.4350817509621</v>
      </c>
      <c r="O116" s="210">
        <f t="shared" si="35"/>
        <v>0</v>
      </c>
      <c r="P116" s="210">
        <f t="shared" si="36"/>
        <v>0</v>
      </c>
      <c r="Q116" s="210">
        <v>0</v>
      </c>
      <c r="R116" s="211">
        <f t="shared" si="37"/>
        <v>2993.4350817509621</v>
      </c>
    </row>
    <row r="117" spans="1:18" x14ac:dyDescent="0.25">
      <c r="A117" s="163">
        <v>2</v>
      </c>
      <c r="B117" s="202">
        <f t="shared" si="48"/>
        <v>43497</v>
      </c>
      <c r="C117" s="226">
        <f t="shared" ref="C117:D139" si="52">+C105</f>
        <v>43529</v>
      </c>
      <c r="D117" s="226">
        <f t="shared" si="52"/>
        <v>43544</v>
      </c>
      <c r="E117" s="212" t="s">
        <v>13</v>
      </c>
      <c r="F117" s="163">
        <v>9</v>
      </c>
      <c r="G117" s="205">
        <v>951</v>
      </c>
      <c r="H117" s="206">
        <f t="shared" si="51"/>
        <v>3.4452834394041285</v>
      </c>
      <c r="I117" s="206">
        <f t="shared" si="47"/>
        <v>6.3301120928520218</v>
      </c>
      <c r="J117" s="207">
        <f t="shared" si="49"/>
        <v>6019.9366003022724</v>
      </c>
      <c r="K117" s="208">
        <f t="shared" si="41"/>
        <v>3276.4645508733261</v>
      </c>
      <c r="L117" s="209">
        <f>+J117-K117</f>
        <v>2743.4720494289463</v>
      </c>
      <c r="M117" s="210">
        <f t="shared" si="33"/>
        <v>137.86070638599821</v>
      </c>
      <c r="N117" s="211">
        <f t="shared" si="34"/>
        <v>2881.3327558149444</v>
      </c>
      <c r="O117" s="210">
        <f t="shared" si="35"/>
        <v>0</v>
      </c>
      <c r="P117" s="210">
        <f t="shared" si="36"/>
        <v>0</v>
      </c>
      <c r="Q117" s="210">
        <v>0</v>
      </c>
      <c r="R117" s="211">
        <f t="shared" si="37"/>
        <v>2881.3327558149444</v>
      </c>
    </row>
    <row r="118" spans="1:18" x14ac:dyDescent="0.25">
      <c r="A118" s="163">
        <v>3</v>
      </c>
      <c r="B118" s="202">
        <f t="shared" si="48"/>
        <v>43525</v>
      </c>
      <c r="C118" s="226">
        <f t="shared" si="52"/>
        <v>43558</v>
      </c>
      <c r="D118" s="226">
        <f t="shared" si="52"/>
        <v>43573</v>
      </c>
      <c r="E118" s="212" t="s">
        <v>13</v>
      </c>
      <c r="F118" s="163">
        <v>9</v>
      </c>
      <c r="G118" s="205">
        <v>1055</v>
      </c>
      <c r="H118" s="206">
        <f t="shared" si="51"/>
        <v>3.4452834394041285</v>
      </c>
      <c r="I118" s="206">
        <f t="shared" si="47"/>
        <v>6.3301120928520218</v>
      </c>
      <c r="J118" s="207">
        <f t="shared" si="49"/>
        <v>6678.2682579588827</v>
      </c>
      <c r="K118" s="208">
        <f t="shared" si="41"/>
        <v>3634.7740285713558</v>
      </c>
      <c r="L118" s="209">
        <f>+J118-K118</f>
        <v>3043.494229387527</v>
      </c>
      <c r="M118" s="210">
        <f t="shared" si="33"/>
        <v>152.93695608541339</v>
      </c>
      <c r="N118" s="211">
        <f t="shared" si="34"/>
        <v>3196.4311854729403</v>
      </c>
      <c r="O118" s="210">
        <f t="shared" si="35"/>
        <v>0</v>
      </c>
      <c r="P118" s="210">
        <f t="shared" si="36"/>
        <v>0</v>
      </c>
      <c r="Q118" s="210">
        <v>0</v>
      </c>
      <c r="R118" s="211">
        <f t="shared" si="37"/>
        <v>3196.4311854729403</v>
      </c>
    </row>
    <row r="119" spans="1:18" x14ac:dyDescent="0.25">
      <c r="A119" s="126">
        <v>4</v>
      </c>
      <c r="B119" s="202">
        <f t="shared" si="48"/>
        <v>43556</v>
      </c>
      <c r="C119" s="226">
        <f t="shared" si="52"/>
        <v>43588</v>
      </c>
      <c r="D119" s="226">
        <f t="shared" si="52"/>
        <v>43605</v>
      </c>
      <c r="E119" s="54" t="s">
        <v>13</v>
      </c>
      <c r="F119" s="163">
        <v>9</v>
      </c>
      <c r="G119" s="205">
        <v>514</v>
      </c>
      <c r="H119" s="206">
        <f t="shared" si="51"/>
        <v>3.4452834394041285</v>
      </c>
      <c r="I119" s="206">
        <f t="shared" si="47"/>
        <v>6.3301120928520218</v>
      </c>
      <c r="J119" s="207">
        <f t="shared" si="49"/>
        <v>3253.6776157259392</v>
      </c>
      <c r="K119" s="208">
        <f t="shared" si="41"/>
        <v>1770.875687853722</v>
      </c>
      <c r="L119" s="209">
        <f t="shared" ref="L119:L127" si="53">+J119-K119</f>
        <v>1482.8019278722172</v>
      </c>
      <c r="M119" s="210">
        <f t="shared" si="33"/>
        <v>74.511464860571067</v>
      </c>
      <c r="N119" s="211">
        <f t="shared" si="34"/>
        <v>1557.3133927327883</v>
      </c>
      <c r="O119" s="210">
        <f t="shared" si="35"/>
        <v>0</v>
      </c>
      <c r="P119" s="210">
        <f t="shared" si="36"/>
        <v>0</v>
      </c>
      <c r="Q119" s="210">
        <v>0</v>
      </c>
      <c r="R119" s="211">
        <f t="shared" si="37"/>
        <v>1557.3133927327883</v>
      </c>
    </row>
    <row r="120" spans="1:18" x14ac:dyDescent="0.25">
      <c r="A120" s="163">
        <v>5</v>
      </c>
      <c r="B120" s="202">
        <f t="shared" si="48"/>
        <v>43586</v>
      </c>
      <c r="C120" s="226">
        <f t="shared" si="52"/>
        <v>43621</v>
      </c>
      <c r="D120" s="226">
        <f t="shared" si="52"/>
        <v>43636</v>
      </c>
      <c r="E120" s="54" t="s">
        <v>13</v>
      </c>
      <c r="F120" s="163">
        <v>9</v>
      </c>
      <c r="G120" s="205">
        <v>701</v>
      </c>
      <c r="H120" s="206">
        <f t="shared" si="51"/>
        <v>3.4452834394041285</v>
      </c>
      <c r="I120" s="206">
        <f t="shared" si="47"/>
        <v>6.3301120928520218</v>
      </c>
      <c r="J120" s="207">
        <f t="shared" si="49"/>
        <v>4437.4085770892671</v>
      </c>
      <c r="K120" s="208">
        <f t="shared" si="41"/>
        <v>2415.1436910222942</v>
      </c>
      <c r="L120" s="209">
        <f t="shared" si="53"/>
        <v>2022.2648860669728</v>
      </c>
      <c r="M120" s="210">
        <f t="shared" si="33"/>
        <v>101.61972153163485</v>
      </c>
      <c r="N120" s="211">
        <f t="shared" si="34"/>
        <v>2123.8846075986075</v>
      </c>
      <c r="O120" s="210">
        <f t="shared" si="35"/>
        <v>0</v>
      </c>
      <c r="P120" s="210">
        <f t="shared" si="36"/>
        <v>0</v>
      </c>
      <c r="Q120" s="210">
        <v>0</v>
      </c>
      <c r="R120" s="211">
        <f t="shared" si="37"/>
        <v>2123.8846075986075</v>
      </c>
    </row>
    <row r="121" spans="1:18" x14ac:dyDescent="0.25">
      <c r="A121" s="163">
        <v>6</v>
      </c>
      <c r="B121" s="202">
        <f t="shared" si="48"/>
        <v>43617</v>
      </c>
      <c r="C121" s="226">
        <f t="shared" si="52"/>
        <v>43649</v>
      </c>
      <c r="D121" s="226">
        <f t="shared" si="52"/>
        <v>43664</v>
      </c>
      <c r="E121" s="54" t="s">
        <v>13</v>
      </c>
      <c r="F121" s="163">
        <v>9</v>
      </c>
      <c r="G121" s="205">
        <v>822</v>
      </c>
      <c r="H121" s="206">
        <f t="shared" si="51"/>
        <v>3.4452834394041285</v>
      </c>
      <c r="I121" s="206">
        <f t="shared" si="47"/>
        <v>6.3301120928520218</v>
      </c>
      <c r="J121" s="207">
        <f t="shared" si="49"/>
        <v>5203.3521403243622</v>
      </c>
      <c r="K121" s="208">
        <f t="shared" si="41"/>
        <v>2832.0229871901938</v>
      </c>
      <c r="L121" s="213">
        <f t="shared" si="53"/>
        <v>2371.3291531341683</v>
      </c>
      <c r="M121" s="210">
        <f t="shared" si="33"/>
        <v>119.16035820114671</v>
      </c>
      <c r="N121" s="211">
        <f t="shared" si="34"/>
        <v>2490.489511335315</v>
      </c>
      <c r="O121" s="210">
        <f t="shared" si="35"/>
        <v>0</v>
      </c>
      <c r="P121" s="210">
        <f t="shared" si="36"/>
        <v>0</v>
      </c>
      <c r="Q121" s="210">
        <v>0</v>
      </c>
      <c r="R121" s="211">
        <f t="shared" si="37"/>
        <v>2490.489511335315</v>
      </c>
    </row>
    <row r="122" spans="1:18" x14ac:dyDescent="0.25">
      <c r="A122" s="126">
        <v>7</v>
      </c>
      <c r="B122" s="202">
        <f t="shared" si="48"/>
        <v>43647</v>
      </c>
      <c r="C122" s="226">
        <f t="shared" si="52"/>
        <v>43682</v>
      </c>
      <c r="D122" s="226">
        <f t="shared" si="52"/>
        <v>43697</v>
      </c>
      <c r="E122" s="54" t="s">
        <v>13</v>
      </c>
      <c r="F122" s="163">
        <v>9</v>
      </c>
      <c r="G122" s="205">
        <v>868</v>
      </c>
      <c r="H122" s="206">
        <f t="shared" si="51"/>
        <v>3.4452834394041285</v>
      </c>
      <c r="I122" s="206">
        <f t="shared" si="47"/>
        <v>6.3301120928520218</v>
      </c>
      <c r="J122" s="207">
        <f t="shared" si="49"/>
        <v>5494.5372965955548</v>
      </c>
      <c r="K122" s="214">
        <f t="shared" si="41"/>
        <v>2990.5060254027835</v>
      </c>
      <c r="L122" s="213">
        <f t="shared" si="53"/>
        <v>2504.0312711927713</v>
      </c>
      <c r="M122" s="210">
        <f t="shared" si="33"/>
        <v>125.82869941434959</v>
      </c>
      <c r="N122" s="211">
        <f t="shared" si="34"/>
        <v>2629.8599706071209</v>
      </c>
      <c r="O122" s="210">
        <f t="shared" si="35"/>
        <v>0</v>
      </c>
      <c r="P122" s="210">
        <f t="shared" si="36"/>
        <v>0</v>
      </c>
      <c r="Q122" s="210">
        <v>0</v>
      </c>
      <c r="R122" s="211">
        <f t="shared" si="37"/>
        <v>2629.8599706071209</v>
      </c>
    </row>
    <row r="123" spans="1:18" x14ac:dyDescent="0.25">
      <c r="A123" s="163">
        <v>8</v>
      </c>
      <c r="B123" s="202">
        <f t="shared" si="48"/>
        <v>43678</v>
      </c>
      <c r="C123" s="226">
        <f t="shared" si="52"/>
        <v>43712</v>
      </c>
      <c r="D123" s="226">
        <f t="shared" si="52"/>
        <v>43727</v>
      </c>
      <c r="E123" s="54" t="s">
        <v>13</v>
      </c>
      <c r="F123" s="163">
        <v>9</v>
      </c>
      <c r="G123" s="205">
        <v>933</v>
      </c>
      <c r="H123" s="206">
        <f t="shared" ref="H123:H127" si="54">$K$3</f>
        <v>3.4452834394041285</v>
      </c>
      <c r="I123" s="206">
        <f t="shared" si="47"/>
        <v>6.3301120928520218</v>
      </c>
      <c r="J123" s="207">
        <f t="shared" si="49"/>
        <v>5905.9945826309367</v>
      </c>
      <c r="K123" s="214">
        <f t="shared" si="41"/>
        <v>3214.449448964052</v>
      </c>
      <c r="L123" s="213">
        <f t="shared" si="53"/>
        <v>2691.5451336668848</v>
      </c>
      <c r="M123" s="210">
        <f t="shared" si="33"/>
        <v>135.25135547648406</v>
      </c>
      <c r="N123" s="211">
        <f t="shared" si="34"/>
        <v>2826.7964891433689</v>
      </c>
      <c r="O123" s="210">
        <f t="shared" si="35"/>
        <v>0</v>
      </c>
      <c r="P123" s="210">
        <f t="shared" si="36"/>
        <v>0</v>
      </c>
      <c r="Q123" s="210">
        <v>0</v>
      </c>
      <c r="R123" s="211">
        <f t="shared" si="37"/>
        <v>2826.7964891433689</v>
      </c>
    </row>
    <row r="124" spans="1:18" x14ac:dyDescent="0.25">
      <c r="A124" s="163">
        <v>9</v>
      </c>
      <c r="B124" s="202">
        <f t="shared" si="48"/>
        <v>43709</v>
      </c>
      <c r="C124" s="226">
        <f t="shared" si="52"/>
        <v>43741</v>
      </c>
      <c r="D124" s="226">
        <f t="shared" si="52"/>
        <v>43756</v>
      </c>
      <c r="E124" s="54" t="s">
        <v>13</v>
      </c>
      <c r="F124" s="163">
        <v>9</v>
      </c>
      <c r="G124" s="205">
        <v>890</v>
      </c>
      <c r="H124" s="206">
        <f t="shared" si="54"/>
        <v>3.4452834394041285</v>
      </c>
      <c r="I124" s="206">
        <f t="shared" si="47"/>
        <v>6.3301120928520218</v>
      </c>
      <c r="J124" s="207">
        <f t="shared" si="49"/>
        <v>5633.7997626382994</v>
      </c>
      <c r="K124" s="214">
        <f t="shared" si="41"/>
        <v>3066.3022610696744</v>
      </c>
      <c r="L124" s="213">
        <f t="shared" si="53"/>
        <v>2567.497501568625</v>
      </c>
      <c r="M124" s="210">
        <f t="shared" si="33"/>
        <v>129.01790608153354</v>
      </c>
      <c r="N124" s="211">
        <f t="shared" si="34"/>
        <v>2696.5154076501585</v>
      </c>
      <c r="O124" s="210">
        <f t="shared" si="35"/>
        <v>0</v>
      </c>
      <c r="P124" s="210">
        <f t="shared" si="36"/>
        <v>0</v>
      </c>
      <c r="Q124" s="210">
        <v>0</v>
      </c>
      <c r="R124" s="211">
        <f t="shared" si="37"/>
        <v>2696.5154076501585</v>
      </c>
    </row>
    <row r="125" spans="1:18" x14ac:dyDescent="0.25">
      <c r="A125" s="126">
        <v>10</v>
      </c>
      <c r="B125" s="202">
        <f t="shared" si="48"/>
        <v>43739</v>
      </c>
      <c r="C125" s="226">
        <f t="shared" si="52"/>
        <v>43774</v>
      </c>
      <c r="D125" s="226">
        <f t="shared" si="52"/>
        <v>43789</v>
      </c>
      <c r="E125" s="54" t="s">
        <v>13</v>
      </c>
      <c r="F125" s="163">
        <v>9</v>
      </c>
      <c r="G125" s="205">
        <v>798</v>
      </c>
      <c r="H125" s="206">
        <f t="shared" si="54"/>
        <v>3.4452834394041285</v>
      </c>
      <c r="I125" s="206">
        <f t="shared" si="47"/>
        <v>6.3301120928520218</v>
      </c>
      <c r="J125" s="207">
        <f t="shared" si="49"/>
        <v>5051.4294500959131</v>
      </c>
      <c r="K125" s="214">
        <f t="shared" si="41"/>
        <v>2749.3361846444946</v>
      </c>
      <c r="L125" s="213">
        <f t="shared" si="53"/>
        <v>2302.0932654514186</v>
      </c>
      <c r="M125" s="210">
        <f t="shared" si="33"/>
        <v>115.68122365512784</v>
      </c>
      <c r="N125" s="211">
        <f t="shared" si="34"/>
        <v>2417.7744891065463</v>
      </c>
      <c r="O125" s="210">
        <f t="shared" si="35"/>
        <v>0</v>
      </c>
      <c r="P125" s="210">
        <f t="shared" si="36"/>
        <v>0</v>
      </c>
      <c r="Q125" s="210">
        <v>0</v>
      </c>
      <c r="R125" s="211">
        <f t="shared" si="37"/>
        <v>2417.7744891065463</v>
      </c>
    </row>
    <row r="126" spans="1:18" x14ac:dyDescent="0.25">
      <c r="A126" s="163">
        <v>11</v>
      </c>
      <c r="B126" s="202">
        <f t="shared" si="48"/>
        <v>43770</v>
      </c>
      <c r="C126" s="226">
        <f t="shared" si="52"/>
        <v>43803</v>
      </c>
      <c r="D126" s="226">
        <f t="shared" si="52"/>
        <v>43818</v>
      </c>
      <c r="E126" s="54" t="s">
        <v>13</v>
      </c>
      <c r="F126" s="163">
        <v>9</v>
      </c>
      <c r="G126" s="205">
        <v>1050</v>
      </c>
      <c r="H126" s="206">
        <f t="shared" si="54"/>
        <v>3.4452834394041285</v>
      </c>
      <c r="I126" s="206">
        <f t="shared" si="47"/>
        <v>6.3301120928520218</v>
      </c>
      <c r="J126" s="207">
        <f t="shared" si="49"/>
        <v>6646.6176974946229</v>
      </c>
      <c r="K126" s="214">
        <f t="shared" si="41"/>
        <v>3617.5476113743348</v>
      </c>
      <c r="L126" s="213">
        <f t="shared" si="53"/>
        <v>3029.0700861202881</v>
      </c>
      <c r="M126" s="210">
        <f t="shared" si="33"/>
        <v>152.21213638832609</v>
      </c>
      <c r="N126" s="211">
        <f t="shared" si="34"/>
        <v>3181.2822225086143</v>
      </c>
      <c r="O126" s="210">
        <f t="shared" si="35"/>
        <v>0</v>
      </c>
      <c r="P126" s="210">
        <f t="shared" si="36"/>
        <v>0</v>
      </c>
      <c r="Q126" s="210">
        <v>0</v>
      </c>
      <c r="R126" s="211">
        <f t="shared" si="37"/>
        <v>3181.2822225086143</v>
      </c>
    </row>
    <row r="127" spans="1:18" s="230" customFormat="1" x14ac:dyDescent="0.25">
      <c r="A127" s="163">
        <v>12</v>
      </c>
      <c r="B127" s="228">
        <f t="shared" si="48"/>
        <v>43800</v>
      </c>
      <c r="C127" s="231">
        <f t="shared" si="52"/>
        <v>43833</v>
      </c>
      <c r="D127" s="231">
        <f t="shared" si="52"/>
        <v>43850</v>
      </c>
      <c r="E127" s="229" t="s">
        <v>13</v>
      </c>
      <c r="F127" s="174">
        <v>9</v>
      </c>
      <c r="G127" s="217">
        <v>996</v>
      </c>
      <c r="H127" s="218">
        <f t="shared" si="54"/>
        <v>3.4452834394041285</v>
      </c>
      <c r="I127" s="218">
        <f t="shared" si="47"/>
        <v>6.3301120928520218</v>
      </c>
      <c r="J127" s="219">
        <f t="shared" si="49"/>
        <v>6304.7916444806133</v>
      </c>
      <c r="K127" s="220">
        <f t="shared" si="41"/>
        <v>3431.502305646512</v>
      </c>
      <c r="L127" s="221">
        <f t="shared" si="53"/>
        <v>2873.2893388341013</v>
      </c>
      <c r="M127" s="210">
        <f t="shared" si="33"/>
        <v>144.38408365978361</v>
      </c>
      <c r="N127" s="211">
        <f t="shared" si="34"/>
        <v>3017.673422493885</v>
      </c>
      <c r="O127" s="210">
        <f t="shared" si="35"/>
        <v>0</v>
      </c>
      <c r="P127" s="210">
        <f t="shared" si="36"/>
        <v>0</v>
      </c>
      <c r="Q127" s="210">
        <v>0</v>
      </c>
      <c r="R127" s="211">
        <f t="shared" si="37"/>
        <v>3017.673422493885</v>
      </c>
    </row>
    <row r="128" spans="1:18" x14ac:dyDescent="0.25">
      <c r="A128" s="126">
        <v>1</v>
      </c>
      <c r="B128" s="202">
        <f t="shared" si="48"/>
        <v>43466</v>
      </c>
      <c r="C128" s="226">
        <f t="shared" si="52"/>
        <v>43501</v>
      </c>
      <c r="D128" s="226">
        <f t="shared" si="52"/>
        <v>43516</v>
      </c>
      <c r="E128" s="204" t="s">
        <v>15</v>
      </c>
      <c r="F128" s="126">
        <v>9</v>
      </c>
      <c r="G128" s="205">
        <v>7</v>
      </c>
      <c r="H128" s="206">
        <f t="shared" ref="H128:H134" si="55">+$K$6</f>
        <v>3.4452834394041285</v>
      </c>
      <c r="I128" s="206">
        <f t="shared" ref="I128:I147" si="56">$J$3</f>
        <v>6.3301120928520218</v>
      </c>
      <c r="J128" s="207">
        <f t="shared" si="49"/>
        <v>44.310784649964155</v>
      </c>
      <c r="K128" s="208">
        <f t="shared" si="41"/>
        <v>24.116984075828899</v>
      </c>
      <c r="L128" s="209">
        <f>+J128-K128</f>
        <v>20.193800574135256</v>
      </c>
      <c r="M128" s="210">
        <f t="shared" si="33"/>
        <v>1.014747575922174</v>
      </c>
      <c r="N128" s="211">
        <f t="shared" si="34"/>
        <v>21.208548150057432</v>
      </c>
      <c r="O128" s="210">
        <f t="shared" si="35"/>
        <v>0</v>
      </c>
      <c r="P128" s="210">
        <f t="shared" si="36"/>
        <v>0</v>
      </c>
      <c r="Q128" s="210">
        <v>0</v>
      </c>
      <c r="R128" s="211">
        <f t="shared" si="37"/>
        <v>21.208548150057432</v>
      </c>
    </row>
    <row r="129" spans="1:18" x14ac:dyDescent="0.25">
      <c r="A129" s="163">
        <v>2</v>
      </c>
      <c r="B129" s="202">
        <f t="shared" si="48"/>
        <v>43497</v>
      </c>
      <c r="C129" s="226">
        <f t="shared" si="52"/>
        <v>43529</v>
      </c>
      <c r="D129" s="226">
        <f t="shared" si="52"/>
        <v>43544</v>
      </c>
      <c r="E129" s="212" t="s">
        <v>15</v>
      </c>
      <c r="F129" s="163">
        <v>9</v>
      </c>
      <c r="G129" s="205">
        <v>8</v>
      </c>
      <c r="H129" s="206">
        <f t="shared" si="55"/>
        <v>3.4452834394041285</v>
      </c>
      <c r="I129" s="206">
        <f t="shared" si="56"/>
        <v>6.3301120928520218</v>
      </c>
      <c r="J129" s="207">
        <f t="shared" si="49"/>
        <v>50.640896742816174</v>
      </c>
      <c r="K129" s="208">
        <f t="shared" si="41"/>
        <v>27.562267515233028</v>
      </c>
      <c r="L129" s="209">
        <f>+J129-K129</f>
        <v>23.078629227583146</v>
      </c>
      <c r="M129" s="210">
        <f t="shared" si="33"/>
        <v>1.1597115153396276</v>
      </c>
      <c r="N129" s="211">
        <f t="shared" si="34"/>
        <v>24.238340742922773</v>
      </c>
      <c r="O129" s="210">
        <f t="shared" si="35"/>
        <v>0</v>
      </c>
      <c r="P129" s="210">
        <f t="shared" si="36"/>
        <v>0</v>
      </c>
      <c r="Q129" s="210">
        <v>0</v>
      </c>
      <c r="R129" s="211">
        <f t="shared" si="37"/>
        <v>24.238340742922773</v>
      </c>
    </row>
    <row r="130" spans="1:18" x14ac:dyDescent="0.25">
      <c r="A130" s="163">
        <v>3</v>
      </c>
      <c r="B130" s="202">
        <f t="shared" si="48"/>
        <v>43525</v>
      </c>
      <c r="C130" s="226">
        <f t="shared" si="52"/>
        <v>43558</v>
      </c>
      <c r="D130" s="226">
        <f t="shared" si="52"/>
        <v>43573</v>
      </c>
      <c r="E130" s="212" t="s">
        <v>15</v>
      </c>
      <c r="F130" s="163">
        <v>9</v>
      </c>
      <c r="G130" s="205">
        <v>6</v>
      </c>
      <c r="H130" s="206">
        <f t="shared" si="55"/>
        <v>3.4452834394041285</v>
      </c>
      <c r="I130" s="206">
        <f t="shared" si="56"/>
        <v>6.3301120928520218</v>
      </c>
      <c r="J130" s="207">
        <f t="shared" si="49"/>
        <v>37.980672557112129</v>
      </c>
      <c r="K130" s="208">
        <f t="shared" si="41"/>
        <v>20.67170063642477</v>
      </c>
      <c r="L130" s="209">
        <f>+J130-K130</f>
        <v>17.308971920687359</v>
      </c>
      <c r="M130" s="210">
        <f t="shared" si="33"/>
        <v>0.86978363650472057</v>
      </c>
      <c r="N130" s="211">
        <f t="shared" si="34"/>
        <v>18.17875555719208</v>
      </c>
      <c r="O130" s="210">
        <f t="shared" si="35"/>
        <v>0</v>
      </c>
      <c r="P130" s="210">
        <f t="shared" si="36"/>
        <v>0</v>
      </c>
      <c r="Q130" s="210">
        <v>0</v>
      </c>
      <c r="R130" s="211">
        <f t="shared" si="37"/>
        <v>18.17875555719208</v>
      </c>
    </row>
    <row r="131" spans="1:18" x14ac:dyDescent="0.25">
      <c r="A131" s="126">
        <v>4</v>
      </c>
      <c r="B131" s="202">
        <f t="shared" si="48"/>
        <v>43556</v>
      </c>
      <c r="C131" s="226">
        <f t="shared" si="52"/>
        <v>43588</v>
      </c>
      <c r="D131" s="226">
        <f t="shared" si="52"/>
        <v>43605</v>
      </c>
      <c r="E131" s="212" t="s">
        <v>15</v>
      </c>
      <c r="F131" s="163">
        <v>9</v>
      </c>
      <c r="G131" s="205">
        <v>5</v>
      </c>
      <c r="H131" s="206">
        <f t="shared" si="55"/>
        <v>3.4452834394041285</v>
      </c>
      <c r="I131" s="206">
        <f t="shared" si="56"/>
        <v>6.3301120928520218</v>
      </c>
      <c r="J131" s="207">
        <f t="shared" si="49"/>
        <v>31.65056046426011</v>
      </c>
      <c r="K131" s="208">
        <f t="shared" si="41"/>
        <v>17.226417197020641</v>
      </c>
      <c r="L131" s="209">
        <f t="shared" ref="L131:L141" si="57">+J131-K131</f>
        <v>14.424143267239469</v>
      </c>
      <c r="M131" s="210">
        <f t="shared" si="33"/>
        <v>0.72481969708726712</v>
      </c>
      <c r="N131" s="211">
        <f t="shared" si="34"/>
        <v>15.148962964326735</v>
      </c>
      <c r="O131" s="210">
        <f t="shared" si="35"/>
        <v>0</v>
      </c>
      <c r="P131" s="210">
        <f t="shared" si="36"/>
        <v>0</v>
      </c>
      <c r="Q131" s="210">
        <v>0</v>
      </c>
      <c r="R131" s="211">
        <f t="shared" si="37"/>
        <v>15.148962964326735</v>
      </c>
    </row>
    <row r="132" spans="1:18" x14ac:dyDescent="0.25">
      <c r="A132" s="163">
        <v>5</v>
      </c>
      <c r="B132" s="202">
        <f t="shared" si="48"/>
        <v>43586</v>
      </c>
      <c r="C132" s="226">
        <f t="shared" si="52"/>
        <v>43621</v>
      </c>
      <c r="D132" s="226">
        <f t="shared" si="52"/>
        <v>43636</v>
      </c>
      <c r="E132" s="54" t="s">
        <v>15</v>
      </c>
      <c r="F132" s="163">
        <v>9</v>
      </c>
      <c r="G132" s="205">
        <v>4</v>
      </c>
      <c r="H132" s="206">
        <f t="shared" si="55"/>
        <v>3.4452834394041285</v>
      </c>
      <c r="I132" s="206">
        <f t="shared" si="56"/>
        <v>6.3301120928520218</v>
      </c>
      <c r="J132" s="207">
        <f t="shared" si="49"/>
        <v>25.320448371408087</v>
      </c>
      <c r="K132" s="208">
        <f t="shared" si="41"/>
        <v>13.781133757616514</v>
      </c>
      <c r="L132" s="209">
        <f t="shared" si="57"/>
        <v>11.539314613791573</v>
      </c>
      <c r="M132" s="210">
        <f t="shared" si="33"/>
        <v>0.57985575766981379</v>
      </c>
      <c r="N132" s="211">
        <f t="shared" si="34"/>
        <v>12.119170371461387</v>
      </c>
      <c r="O132" s="210">
        <f t="shared" si="35"/>
        <v>0</v>
      </c>
      <c r="P132" s="210">
        <f t="shared" si="36"/>
        <v>0</v>
      </c>
      <c r="Q132" s="210">
        <v>0</v>
      </c>
      <c r="R132" s="211">
        <f t="shared" si="37"/>
        <v>12.119170371461387</v>
      </c>
    </row>
    <row r="133" spans="1:18" x14ac:dyDescent="0.25">
      <c r="A133" s="163">
        <v>6</v>
      </c>
      <c r="B133" s="202">
        <f t="shared" si="48"/>
        <v>43617</v>
      </c>
      <c r="C133" s="226">
        <f t="shared" si="52"/>
        <v>43649</v>
      </c>
      <c r="D133" s="226">
        <f t="shared" si="52"/>
        <v>43664</v>
      </c>
      <c r="E133" s="54" t="s">
        <v>15</v>
      </c>
      <c r="F133" s="163">
        <v>9</v>
      </c>
      <c r="G133" s="205">
        <v>7</v>
      </c>
      <c r="H133" s="206">
        <f t="shared" si="55"/>
        <v>3.4452834394041285</v>
      </c>
      <c r="I133" s="206">
        <f t="shared" si="56"/>
        <v>6.3301120928520218</v>
      </c>
      <c r="J133" s="207">
        <f t="shared" si="49"/>
        <v>44.310784649964155</v>
      </c>
      <c r="K133" s="208">
        <f t="shared" si="41"/>
        <v>24.116984075828899</v>
      </c>
      <c r="L133" s="213">
        <f t="shared" si="57"/>
        <v>20.193800574135256</v>
      </c>
      <c r="M133" s="210">
        <f t="shared" si="33"/>
        <v>1.014747575922174</v>
      </c>
      <c r="N133" s="211">
        <f t="shared" si="34"/>
        <v>21.208548150057432</v>
      </c>
      <c r="O133" s="210">
        <f t="shared" si="35"/>
        <v>0</v>
      </c>
      <c r="P133" s="210">
        <f t="shared" si="36"/>
        <v>0</v>
      </c>
      <c r="Q133" s="210">
        <v>0</v>
      </c>
      <c r="R133" s="211">
        <f t="shared" si="37"/>
        <v>21.208548150057432</v>
      </c>
    </row>
    <row r="134" spans="1:18" x14ac:dyDescent="0.25">
      <c r="A134" s="126">
        <v>7</v>
      </c>
      <c r="B134" s="202">
        <f t="shared" si="48"/>
        <v>43647</v>
      </c>
      <c r="C134" s="226">
        <f t="shared" si="52"/>
        <v>43682</v>
      </c>
      <c r="D134" s="226">
        <f t="shared" si="52"/>
        <v>43697</v>
      </c>
      <c r="E134" s="54" t="s">
        <v>15</v>
      </c>
      <c r="F134" s="163">
        <v>9</v>
      </c>
      <c r="G134" s="205">
        <v>17</v>
      </c>
      <c r="H134" s="206">
        <f t="shared" si="55"/>
        <v>3.4452834394041285</v>
      </c>
      <c r="I134" s="206">
        <f t="shared" si="56"/>
        <v>6.3301120928520218</v>
      </c>
      <c r="J134" s="207">
        <f t="shared" si="49"/>
        <v>107.61190557848437</v>
      </c>
      <c r="K134" s="214">
        <f t="shared" ref="K134:K197" si="58">+$G134*H134</f>
        <v>58.569818469870185</v>
      </c>
      <c r="L134" s="213">
        <f t="shared" si="57"/>
        <v>49.042087108614183</v>
      </c>
      <c r="M134" s="210">
        <f t="shared" si="33"/>
        <v>2.4643869700967085</v>
      </c>
      <c r="N134" s="211">
        <f t="shared" si="34"/>
        <v>51.506474078710895</v>
      </c>
      <c r="O134" s="210">
        <f t="shared" si="35"/>
        <v>0</v>
      </c>
      <c r="P134" s="210">
        <f t="shared" si="36"/>
        <v>0</v>
      </c>
      <c r="Q134" s="210">
        <v>0</v>
      </c>
      <c r="R134" s="211">
        <f t="shared" si="37"/>
        <v>51.506474078710895</v>
      </c>
    </row>
    <row r="135" spans="1:18" x14ac:dyDescent="0.25">
      <c r="A135" s="163">
        <v>8</v>
      </c>
      <c r="B135" s="202">
        <f t="shared" si="48"/>
        <v>43678</v>
      </c>
      <c r="C135" s="226">
        <f t="shared" si="52"/>
        <v>43712</v>
      </c>
      <c r="D135" s="226">
        <f t="shared" si="52"/>
        <v>43727</v>
      </c>
      <c r="E135" s="54" t="s">
        <v>15</v>
      </c>
      <c r="F135" s="163">
        <v>9</v>
      </c>
      <c r="G135" s="205">
        <v>17</v>
      </c>
      <c r="H135" s="206">
        <f t="shared" ref="H135:H139" si="59">$K$3</f>
        <v>3.4452834394041285</v>
      </c>
      <c r="I135" s="206">
        <f t="shared" si="56"/>
        <v>6.3301120928520218</v>
      </c>
      <c r="J135" s="207">
        <f t="shared" si="49"/>
        <v>107.61190557848437</v>
      </c>
      <c r="K135" s="214">
        <f t="shared" si="58"/>
        <v>58.569818469870185</v>
      </c>
      <c r="L135" s="213">
        <f t="shared" si="57"/>
        <v>49.042087108614183</v>
      </c>
      <c r="M135" s="210">
        <f t="shared" si="33"/>
        <v>2.4643869700967085</v>
      </c>
      <c r="N135" s="211">
        <f t="shared" si="34"/>
        <v>51.506474078710895</v>
      </c>
      <c r="O135" s="210">
        <f t="shared" si="35"/>
        <v>0</v>
      </c>
      <c r="P135" s="210">
        <f t="shared" si="36"/>
        <v>0</v>
      </c>
      <c r="Q135" s="210">
        <v>0</v>
      </c>
      <c r="R135" s="211">
        <f t="shared" si="37"/>
        <v>51.506474078710895</v>
      </c>
    </row>
    <row r="136" spans="1:18" x14ac:dyDescent="0.25">
      <c r="A136" s="163">
        <v>9</v>
      </c>
      <c r="B136" s="202">
        <f t="shared" si="48"/>
        <v>43709</v>
      </c>
      <c r="C136" s="226">
        <f t="shared" si="52"/>
        <v>43741</v>
      </c>
      <c r="D136" s="226">
        <f t="shared" si="52"/>
        <v>43756</v>
      </c>
      <c r="E136" s="54" t="s">
        <v>15</v>
      </c>
      <c r="F136" s="163">
        <v>9</v>
      </c>
      <c r="G136" s="205">
        <v>13</v>
      </c>
      <c r="H136" s="206">
        <f t="shared" si="59"/>
        <v>3.4452834394041285</v>
      </c>
      <c r="I136" s="206">
        <f t="shared" si="56"/>
        <v>6.3301120928520218</v>
      </c>
      <c r="J136" s="207">
        <f t="shared" si="49"/>
        <v>82.291457207076277</v>
      </c>
      <c r="K136" s="214">
        <f t="shared" si="58"/>
        <v>44.788684712253669</v>
      </c>
      <c r="L136" s="213">
        <f t="shared" si="57"/>
        <v>37.502772494822608</v>
      </c>
      <c r="M136" s="210">
        <f t="shared" si="33"/>
        <v>1.8845312124268947</v>
      </c>
      <c r="N136" s="211">
        <f t="shared" si="34"/>
        <v>39.387303707249501</v>
      </c>
      <c r="O136" s="210">
        <f t="shared" si="35"/>
        <v>0</v>
      </c>
      <c r="P136" s="210">
        <f t="shared" si="36"/>
        <v>0</v>
      </c>
      <c r="Q136" s="210">
        <v>0</v>
      </c>
      <c r="R136" s="211">
        <f t="shared" si="37"/>
        <v>39.387303707249501</v>
      </c>
    </row>
    <row r="137" spans="1:18" x14ac:dyDescent="0.25">
      <c r="A137" s="126">
        <v>10</v>
      </c>
      <c r="B137" s="202">
        <f t="shared" si="48"/>
        <v>43739</v>
      </c>
      <c r="C137" s="226">
        <f t="shared" si="52"/>
        <v>43774</v>
      </c>
      <c r="D137" s="226">
        <f t="shared" si="52"/>
        <v>43789</v>
      </c>
      <c r="E137" s="54" t="s">
        <v>15</v>
      </c>
      <c r="F137" s="163">
        <v>9</v>
      </c>
      <c r="G137" s="205">
        <v>5</v>
      </c>
      <c r="H137" s="206">
        <f t="shared" si="59"/>
        <v>3.4452834394041285</v>
      </c>
      <c r="I137" s="206">
        <f t="shared" si="56"/>
        <v>6.3301120928520218</v>
      </c>
      <c r="J137" s="207">
        <f t="shared" si="49"/>
        <v>31.65056046426011</v>
      </c>
      <c r="K137" s="214">
        <f t="shared" si="58"/>
        <v>17.226417197020641</v>
      </c>
      <c r="L137" s="213">
        <f t="shared" si="57"/>
        <v>14.424143267239469</v>
      </c>
      <c r="M137" s="210">
        <f t="shared" si="33"/>
        <v>0.72481969708726712</v>
      </c>
      <c r="N137" s="211">
        <f t="shared" si="34"/>
        <v>15.148962964326735</v>
      </c>
      <c r="O137" s="210">
        <f t="shared" si="35"/>
        <v>0</v>
      </c>
      <c r="P137" s="210">
        <f t="shared" si="36"/>
        <v>0</v>
      </c>
      <c r="Q137" s="210">
        <v>0</v>
      </c>
      <c r="R137" s="211">
        <f t="shared" si="37"/>
        <v>15.148962964326735</v>
      </c>
    </row>
    <row r="138" spans="1:18" x14ac:dyDescent="0.25">
      <c r="A138" s="163">
        <v>11</v>
      </c>
      <c r="B138" s="202">
        <f t="shared" si="48"/>
        <v>43770</v>
      </c>
      <c r="C138" s="226">
        <f t="shared" si="52"/>
        <v>43803</v>
      </c>
      <c r="D138" s="226">
        <f t="shared" si="52"/>
        <v>43818</v>
      </c>
      <c r="E138" s="54" t="s">
        <v>15</v>
      </c>
      <c r="F138" s="163">
        <v>9</v>
      </c>
      <c r="G138" s="205">
        <v>7</v>
      </c>
      <c r="H138" s="206">
        <f t="shared" si="59"/>
        <v>3.4452834394041285</v>
      </c>
      <c r="I138" s="206">
        <f t="shared" si="56"/>
        <v>6.3301120928520218</v>
      </c>
      <c r="J138" s="207">
        <f t="shared" si="49"/>
        <v>44.310784649964155</v>
      </c>
      <c r="K138" s="214">
        <f t="shared" si="58"/>
        <v>24.116984075828899</v>
      </c>
      <c r="L138" s="213">
        <f t="shared" si="57"/>
        <v>20.193800574135256</v>
      </c>
      <c r="M138" s="210">
        <f t="shared" si="33"/>
        <v>1.014747575922174</v>
      </c>
      <c r="N138" s="211">
        <f t="shared" si="34"/>
        <v>21.208548150057432</v>
      </c>
      <c r="O138" s="210">
        <f t="shared" si="35"/>
        <v>0</v>
      </c>
      <c r="P138" s="210">
        <f t="shared" si="36"/>
        <v>0</v>
      </c>
      <c r="Q138" s="210">
        <v>0</v>
      </c>
      <c r="R138" s="211">
        <f t="shared" si="37"/>
        <v>21.208548150057432</v>
      </c>
    </row>
    <row r="139" spans="1:18" s="230" customFormat="1" x14ac:dyDescent="0.25">
      <c r="A139" s="163">
        <v>12</v>
      </c>
      <c r="B139" s="228">
        <f t="shared" si="48"/>
        <v>43800</v>
      </c>
      <c r="C139" s="226">
        <f t="shared" si="52"/>
        <v>43833</v>
      </c>
      <c r="D139" s="226">
        <f t="shared" si="52"/>
        <v>43850</v>
      </c>
      <c r="E139" s="229" t="s">
        <v>15</v>
      </c>
      <c r="F139" s="174">
        <v>9</v>
      </c>
      <c r="G139" s="217">
        <v>7</v>
      </c>
      <c r="H139" s="218">
        <f t="shared" si="59"/>
        <v>3.4452834394041285</v>
      </c>
      <c r="I139" s="218">
        <f t="shared" si="56"/>
        <v>6.3301120928520218</v>
      </c>
      <c r="J139" s="219">
        <f t="shared" si="49"/>
        <v>44.310784649964155</v>
      </c>
      <c r="K139" s="220">
        <f t="shared" si="58"/>
        <v>24.116984075828899</v>
      </c>
      <c r="L139" s="221">
        <f t="shared" si="57"/>
        <v>20.193800574135256</v>
      </c>
      <c r="M139" s="210">
        <f t="shared" si="33"/>
        <v>1.014747575922174</v>
      </c>
      <c r="N139" s="211">
        <f t="shared" si="34"/>
        <v>21.208548150057432</v>
      </c>
      <c r="O139" s="210">
        <f t="shared" si="35"/>
        <v>0</v>
      </c>
      <c r="P139" s="210">
        <f t="shared" si="36"/>
        <v>0</v>
      </c>
      <c r="Q139" s="210">
        <v>0</v>
      </c>
      <c r="R139" s="211">
        <f t="shared" si="37"/>
        <v>21.208548150057432</v>
      </c>
    </row>
    <row r="140" spans="1:18" x14ac:dyDescent="0.25">
      <c r="A140" s="126">
        <v>1</v>
      </c>
      <c r="B140" s="202">
        <f t="shared" si="48"/>
        <v>43466</v>
      </c>
      <c r="C140" s="223">
        <f t="shared" ref="C140:D151" si="60">+C128</f>
        <v>43501</v>
      </c>
      <c r="D140" s="223">
        <f t="shared" si="60"/>
        <v>43516</v>
      </c>
      <c r="E140" s="233" t="s">
        <v>16</v>
      </c>
      <c r="F140" s="163">
        <v>9</v>
      </c>
      <c r="G140" s="205">
        <v>1</v>
      </c>
      <c r="H140" s="206">
        <f t="shared" ref="H140:H146" si="61">+$K$6</f>
        <v>3.4452834394041285</v>
      </c>
      <c r="I140" s="206">
        <f t="shared" si="56"/>
        <v>6.3301120928520218</v>
      </c>
      <c r="J140" s="207">
        <f t="shared" si="49"/>
        <v>6.3301120928520218</v>
      </c>
      <c r="K140" s="208">
        <f t="shared" si="58"/>
        <v>3.4452834394041285</v>
      </c>
      <c r="L140" s="209">
        <f t="shared" si="57"/>
        <v>2.8848286534478933</v>
      </c>
      <c r="M140" s="210">
        <f t="shared" si="33"/>
        <v>0.14496393941745345</v>
      </c>
      <c r="N140" s="211">
        <f t="shared" si="34"/>
        <v>3.0297925928653466</v>
      </c>
      <c r="O140" s="210">
        <f t="shared" si="35"/>
        <v>0</v>
      </c>
      <c r="P140" s="210">
        <f t="shared" si="36"/>
        <v>0</v>
      </c>
      <c r="Q140" s="210">
        <v>0</v>
      </c>
      <c r="R140" s="211">
        <f t="shared" si="37"/>
        <v>3.0297925928653466</v>
      </c>
    </row>
    <row r="141" spans="1:18" x14ac:dyDescent="0.25">
      <c r="A141" s="163">
        <v>2</v>
      </c>
      <c r="B141" s="202">
        <f t="shared" si="48"/>
        <v>43497</v>
      </c>
      <c r="C141" s="226">
        <f t="shared" si="60"/>
        <v>43529</v>
      </c>
      <c r="D141" s="226">
        <f t="shared" si="60"/>
        <v>43544</v>
      </c>
      <c r="E141" s="54" t="s">
        <v>16</v>
      </c>
      <c r="F141" s="163">
        <v>9</v>
      </c>
      <c r="G141" s="205">
        <v>4</v>
      </c>
      <c r="H141" s="206">
        <f t="shared" si="61"/>
        <v>3.4452834394041285</v>
      </c>
      <c r="I141" s="206">
        <f t="shared" si="56"/>
        <v>6.3301120928520218</v>
      </c>
      <c r="J141" s="207">
        <f t="shared" si="49"/>
        <v>25.320448371408087</v>
      </c>
      <c r="K141" s="208">
        <f t="shared" si="58"/>
        <v>13.781133757616514</v>
      </c>
      <c r="L141" s="209">
        <f t="shared" si="57"/>
        <v>11.539314613791573</v>
      </c>
      <c r="M141" s="210">
        <f t="shared" si="33"/>
        <v>0.57985575766981379</v>
      </c>
      <c r="N141" s="211">
        <f t="shared" si="34"/>
        <v>12.119170371461387</v>
      </c>
      <c r="O141" s="210">
        <f t="shared" si="35"/>
        <v>0</v>
      </c>
      <c r="P141" s="210">
        <f t="shared" si="36"/>
        <v>0</v>
      </c>
      <c r="Q141" s="210">
        <v>0</v>
      </c>
      <c r="R141" s="211">
        <f t="shared" si="37"/>
        <v>12.119170371461387</v>
      </c>
    </row>
    <row r="142" spans="1:18" x14ac:dyDescent="0.25">
      <c r="A142" s="163">
        <v>3</v>
      </c>
      <c r="B142" s="202">
        <f t="shared" si="48"/>
        <v>43525</v>
      </c>
      <c r="C142" s="226">
        <f t="shared" si="60"/>
        <v>43558</v>
      </c>
      <c r="D142" s="226">
        <f t="shared" si="60"/>
        <v>43573</v>
      </c>
      <c r="E142" s="54" t="s">
        <v>16</v>
      </c>
      <c r="F142" s="163">
        <v>9</v>
      </c>
      <c r="G142" s="205">
        <v>1</v>
      </c>
      <c r="H142" s="206">
        <f t="shared" si="61"/>
        <v>3.4452834394041285</v>
      </c>
      <c r="I142" s="206">
        <f t="shared" si="56"/>
        <v>6.3301120928520218</v>
      </c>
      <c r="J142" s="207">
        <f t="shared" si="49"/>
        <v>6.3301120928520218</v>
      </c>
      <c r="K142" s="208">
        <f t="shared" si="58"/>
        <v>3.4452834394041285</v>
      </c>
      <c r="L142" s="209">
        <f>+J142-K142</f>
        <v>2.8848286534478933</v>
      </c>
      <c r="M142" s="210">
        <f t="shared" si="33"/>
        <v>0.14496393941745345</v>
      </c>
      <c r="N142" s="211">
        <f t="shared" si="34"/>
        <v>3.0297925928653466</v>
      </c>
      <c r="O142" s="210">
        <f t="shared" si="35"/>
        <v>0</v>
      </c>
      <c r="P142" s="210">
        <f t="shared" si="36"/>
        <v>0</v>
      </c>
      <c r="Q142" s="210">
        <v>0</v>
      </c>
      <c r="R142" s="211">
        <f t="shared" si="37"/>
        <v>3.0297925928653466</v>
      </c>
    </row>
    <row r="143" spans="1:18" x14ac:dyDescent="0.25">
      <c r="A143" s="126">
        <v>4</v>
      </c>
      <c r="B143" s="202">
        <f t="shared" si="48"/>
        <v>43556</v>
      </c>
      <c r="C143" s="226">
        <f t="shared" si="60"/>
        <v>43588</v>
      </c>
      <c r="D143" s="226">
        <f t="shared" si="60"/>
        <v>43605</v>
      </c>
      <c r="E143" s="54" t="s">
        <v>16</v>
      </c>
      <c r="F143" s="163">
        <v>9</v>
      </c>
      <c r="G143" s="205">
        <v>3</v>
      </c>
      <c r="H143" s="206">
        <f t="shared" si="61"/>
        <v>3.4452834394041285</v>
      </c>
      <c r="I143" s="206">
        <f t="shared" si="56"/>
        <v>6.3301120928520218</v>
      </c>
      <c r="J143" s="207">
        <f t="shared" si="49"/>
        <v>18.990336278556065</v>
      </c>
      <c r="K143" s="208">
        <f t="shared" si="58"/>
        <v>10.335850318212385</v>
      </c>
      <c r="L143" s="209">
        <f t="shared" ref="L143:L153" si="62">+J143-K143</f>
        <v>8.6544859603436795</v>
      </c>
      <c r="M143" s="210">
        <f t="shared" si="33"/>
        <v>0.43489181825236028</v>
      </c>
      <c r="N143" s="211">
        <f t="shared" si="34"/>
        <v>9.0893777785960399</v>
      </c>
      <c r="O143" s="210">
        <f t="shared" si="35"/>
        <v>0</v>
      </c>
      <c r="P143" s="210">
        <f t="shared" si="36"/>
        <v>0</v>
      </c>
      <c r="Q143" s="210">
        <v>0</v>
      </c>
      <c r="R143" s="211">
        <f t="shared" si="37"/>
        <v>9.0893777785960399</v>
      </c>
    </row>
    <row r="144" spans="1:18" x14ac:dyDescent="0.25">
      <c r="A144" s="163">
        <v>5</v>
      </c>
      <c r="B144" s="202">
        <f t="shared" si="48"/>
        <v>43586</v>
      </c>
      <c r="C144" s="226">
        <f t="shared" si="60"/>
        <v>43621</v>
      </c>
      <c r="D144" s="226">
        <f t="shared" si="60"/>
        <v>43636</v>
      </c>
      <c r="E144" s="54" t="s">
        <v>16</v>
      </c>
      <c r="F144" s="163">
        <v>9</v>
      </c>
      <c r="G144" s="205">
        <v>3</v>
      </c>
      <c r="H144" s="206">
        <f t="shared" si="61"/>
        <v>3.4452834394041285</v>
      </c>
      <c r="I144" s="206">
        <f t="shared" si="56"/>
        <v>6.3301120928520218</v>
      </c>
      <c r="J144" s="207">
        <f t="shared" si="49"/>
        <v>18.990336278556065</v>
      </c>
      <c r="K144" s="208">
        <f t="shared" si="58"/>
        <v>10.335850318212385</v>
      </c>
      <c r="L144" s="209">
        <f t="shared" si="62"/>
        <v>8.6544859603436795</v>
      </c>
      <c r="M144" s="210">
        <f t="shared" si="33"/>
        <v>0.43489181825236028</v>
      </c>
      <c r="N144" s="211">
        <f t="shared" si="34"/>
        <v>9.0893777785960399</v>
      </c>
      <c r="O144" s="210">
        <f t="shared" si="35"/>
        <v>0</v>
      </c>
      <c r="P144" s="210">
        <f t="shared" si="36"/>
        <v>0</v>
      </c>
      <c r="Q144" s="210">
        <v>0</v>
      </c>
      <c r="R144" s="211">
        <f t="shared" si="37"/>
        <v>9.0893777785960399</v>
      </c>
    </row>
    <row r="145" spans="1:19" x14ac:dyDescent="0.25">
      <c r="A145" s="163">
        <v>6</v>
      </c>
      <c r="B145" s="202">
        <f t="shared" si="48"/>
        <v>43617</v>
      </c>
      <c r="C145" s="226">
        <f t="shared" si="60"/>
        <v>43649</v>
      </c>
      <c r="D145" s="226">
        <f t="shared" si="60"/>
        <v>43664</v>
      </c>
      <c r="E145" s="54" t="s">
        <v>16</v>
      </c>
      <c r="F145" s="163">
        <v>9</v>
      </c>
      <c r="G145" s="205">
        <v>2</v>
      </c>
      <c r="H145" s="206">
        <f t="shared" si="61"/>
        <v>3.4452834394041285</v>
      </c>
      <c r="I145" s="206">
        <f t="shared" si="56"/>
        <v>6.3301120928520218</v>
      </c>
      <c r="J145" s="207">
        <f t="shared" si="49"/>
        <v>12.660224185704044</v>
      </c>
      <c r="K145" s="208">
        <f t="shared" si="58"/>
        <v>6.890566878808257</v>
      </c>
      <c r="L145" s="213">
        <f t="shared" si="62"/>
        <v>5.7696573068957866</v>
      </c>
      <c r="M145" s="210">
        <f t="shared" si="33"/>
        <v>0.28992787883490689</v>
      </c>
      <c r="N145" s="211">
        <f t="shared" si="34"/>
        <v>6.0595851857306933</v>
      </c>
      <c r="O145" s="210">
        <f t="shared" si="35"/>
        <v>0</v>
      </c>
      <c r="P145" s="210">
        <f t="shared" si="36"/>
        <v>0</v>
      </c>
      <c r="Q145" s="210">
        <v>0</v>
      </c>
      <c r="R145" s="211">
        <f t="shared" si="37"/>
        <v>6.0595851857306933</v>
      </c>
    </row>
    <row r="146" spans="1:19" x14ac:dyDescent="0.25">
      <c r="A146" s="126">
        <v>7</v>
      </c>
      <c r="B146" s="202">
        <f t="shared" si="48"/>
        <v>43647</v>
      </c>
      <c r="C146" s="226">
        <f t="shared" si="60"/>
        <v>43682</v>
      </c>
      <c r="D146" s="226">
        <f t="shared" si="60"/>
        <v>43697</v>
      </c>
      <c r="E146" s="54" t="s">
        <v>16</v>
      </c>
      <c r="F146" s="163">
        <v>9</v>
      </c>
      <c r="G146" s="205">
        <v>6</v>
      </c>
      <c r="H146" s="206">
        <f t="shared" si="61"/>
        <v>3.4452834394041285</v>
      </c>
      <c r="I146" s="206">
        <f t="shared" si="56"/>
        <v>6.3301120928520218</v>
      </c>
      <c r="J146" s="207">
        <f t="shared" si="49"/>
        <v>37.980672557112129</v>
      </c>
      <c r="K146" s="214">
        <f t="shared" si="58"/>
        <v>20.67170063642477</v>
      </c>
      <c r="L146" s="213">
        <f t="shared" si="62"/>
        <v>17.308971920687359</v>
      </c>
      <c r="M146" s="210">
        <f t="shared" si="33"/>
        <v>0.86978363650472057</v>
      </c>
      <c r="N146" s="211">
        <f t="shared" si="34"/>
        <v>18.17875555719208</v>
      </c>
      <c r="O146" s="210">
        <f t="shared" si="35"/>
        <v>0</v>
      </c>
      <c r="P146" s="210">
        <f t="shared" si="36"/>
        <v>0</v>
      </c>
      <c r="Q146" s="210">
        <v>0</v>
      </c>
      <c r="R146" s="211">
        <f t="shared" si="37"/>
        <v>18.17875555719208</v>
      </c>
    </row>
    <row r="147" spans="1:19" x14ac:dyDescent="0.25">
      <c r="A147" s="163">
        <v>8</v>
      </c>
      <c r="B147" s="202">
        <f t="shared" si="48"/>
        <v>43678</v>
      </c>
      <c r="C147" s="226">
        <f t="shared" si="60"/>
        <v>43712</v>
      </c>
      <c r="D147" s="226">
        <f t="shared" si="60"/>
        <v>43727</v>
      </c>
      <c r="E147" s="54" t="s">
        <v>16</v>
      </c>
      <c r="F147" s="163">
        <v>9</v>
      </c>
      <c r="G147" s="205">
        <v>4</v>
      </c>
      <c r="H147" s="206">
        <f t="shared" ref="H147:H151" si="63">$K$3</f>
        <v>3.4452834394041285</v>
      </c>
      <c r="I147" s="206">
        <f t="shared" si="56"/>
        <v>6.3301120928520218</v>
      </c>
      <c r="J147" s="207">
        <f t="shared" si="49"/>
        <v>25.320448371408087</v>
      </c>
      <c r="K147" s="214">
        <f t="shared" si="58"/>
        <v>13.781133757616514</v>
      </c>
      <c r="L147" s="213">
        <f t="shared" si="62"/>
        <v>11.539314613791573</v>
      </c>
      <c r="M147" s="210">
        <f t="shared" si="33"/>
        <v>0.57985575766981379</v>
      </c>
      <c r="N147" s="211">
        <f t="shared" si="34"/>
        <v>12.119170371461387</v>
      </c>
      <c r="O147" s="210">
        <f t="shared" si="35"/>
        <v>0</v>
      </c>
      <c r="P147" s="210">
        <f t="shared" si="36"/>
        <v>0</v>
      </c>
      <c r="Q147" s="210">
        <v>0</v>
      </c>
      <c r="R147" s="211">
        <f t="shared" si="37"/>
        <v>12.119170371461387</v>
      </c>
    </row>
    <row r="148" spans="1:19" x14ac:dyDescent="0.25">
      <c r="A148" s="163">
        <v>9</v>
      </c>
      <c r="B148" s="202">
        <f t="shared" si="48"/>
        <v>43709</v>
      </c>
      <c r="C148" s="226">
        <f t="shared" si="60"/>
        <v>43741</v>
      </c>
      <c r="D148" s="226">
        <f t="shared" si="60"/>
        <v>43756</v>
      </c>
      <c r="E148" s="54" t="s">
        <v>16</v>
      </c>
      <c r="F148" s="163">
        <v>9</v>
      </c>
      <c r="G148" s="205">
        <v>3</v>
      </c>
      <c r="H148" s="206">
        <f t="shared" si="63"/>
        <v>3.4452834394041285</v>
      </c>
      <c r="I148" s="206">
        <f t="shared" ref="I148:I179" si="64">$J$3</f>
        <v>6.3301120928520218</v>
      </c>
      <c r="J148" s="207">
        <f t="shared" si="49"/>
        <v>18.990336278556065</v>
      </c>
      <c r="K148" s="214">
        <f t="shared" si="58"/>
        <v>10.335850318212385</v>
      </c>
      <c r="L148" s="213">
        <f t="shared" si="62"/>
        <v>8.6544859603436795</v>
      </c>
      <c r="M148" s="210">
        <f t="shared" si="33"/>
        <v>0.43489181825236028</v>
      </c>
      <c r="N148" s="211">
        <f t="shared" si="34"/>
        <v>9.0893777785960399</v>
      </c>
      <c r="O148" s="210">
        <f t="shared" si="35"/>
        <v>0</v>
      </c>
      <c r="P148" s="210">
        <f t="shared" si="36"/>
        <v>0</v>
      </c>
      <c r="Q148" s="210">
        <v>0</v>
      </c>
      <c r="R148" s="211">
        <f t="shared" si="37"/>
        <v>9.0893777785960399</v>
      </c>
    </row>
    <row r="149" spans="1:19" x14ac:dyDescent="0.25">
      <c r="A149" s="126">
        <v>10</v>
      </c>
      <c r="B149" s="202">
        <f t="shared" ref="B149:B211" si="65">DATE($R$1,A149,1)</f>
        <v>43739</v>
      </c>
      <c r="C149" s="226">
        <f t="shared" si="60"/>
        <v>43774</v>
      </c>
      <c r="D149" s="226">
        <f t="shared" si="60"/>
        <v>43789</v>
      </c>
      <c r="E149" s="54" t="s">
        <v>16</v>
      </c>
      <c r="F149" s="163">
        <v>9</v>
      </c>
      <c r="G149" s="205">
        <v>4</v>
      </c>
      <c r="H149" s="206">
        <f t="shared" si="63"/>
        <v>3.4452834394041285</v>
      </c>
      <c r="I149" s="206">
        <f t="shared" si="64"/>
        <v>6.3301120928520218</v>
      </c>
      <c r="J149" s="207">
        <f t="shared" ref="J149:J211" si="66">+$G149*I149</f>
        <v>25.320448371408087</v>
      </c>
      <c r="K149" s="214">
        <f t="shared" si="58"/>
        <v>13.781133757616514</v>
      </c>
      <c r="L149" s="213">
        <f t="shared" si="62"/>
        <v>11.539314613791573</v>
      </c>
      <c r="M149" s="210">
        <f t="shared" ref="M149:M211" si="67">G149/$G$212*$M$14</f>
        <v>0.57985575766981379</v>
      </c>
      <c r="N149" s="211">
        <f t="shared" ref="N149:N211" si="68">SUM(L149:M149)</f>
        <v>12.119170371461387</v>
      </c>
      <c r="O149" s="210">
        <f t="shared" ref="O149:O211" si="69">+$P$3</f>
        <v>0</v>
      </c>
      <c r="P149" s="210">
        <f t="shared" ref="P149:P211" si="70">+G149*O149</f>
        <v>0</v>
      </c>
      <c r="Q149" s="210">
        <v>0</v>
      </c>
      <c r="R149" s="211">
        <f t="shared" ref="R149:R211" si="71">+N149-Q149</f>
        <v>12.119170371461387</v>
      </c>
    </row>
    <row r="150" spans="1:19" x14ac:dyDescent="0.25">
      <c r="A150" s="163">
        <v>11</v>
      </c>
      <c r="B150" s="202">
        <f t="shared" si="65"/>
        <v>43770</v>
      </c>
      <c r="C150" s="226">
        <f t="shared" si="60"/>
        <v>43803</v>
      </c>
      <c r="D150" s="226">
        <f t="shared" si="60"/>
        <v>43818</v>
      </c>
      <c r="E150" s="54" t="s">
        <v>16</v>
      </c>
      <c r="F150" s="163">
        <v>9</v>
      </c>
      <c r="G150" s="205">
        <v>4</v>
      </c>
      <c r="H150" s="206">
        <f t="shared" si="63"/>
        <v>3.4452834394041285</v>
      </c>
      <c r="I150" s="206">
        <f t="shared" si="64"/>
        <v>6.3301120928520218</v>
      </c>
      <c r="J150" s="207">
        <f t="shared" si="66"/>
        <v>25.320448371408087</v>
      </c>
      <c r="K150" s="214">
        <f t="shared" si="58"/>
        <v>13.781133757616514</v>
      </c>
      <c r="L150" s="213">
        <f t="shared" si="62"/>
        <v>11.539314613791573</v>
      </c>
      <c r="M150" s="210">
        <f t="shared" si="67"/>
        <v>0.57985575766981379</v>
      </c>
      <c r="N150" s="211">
        <f t="shared" si="68"/>
        <v>12.119170371461387</v>
      </c>
      <c r="O150" s="210">
        <f t="shared" si="69"/>
        <v>0</v>
      </c>
      <c r="P150" s="210">
        <f t="shared" si="70"/>
        <v>0</v>
      </c>
      <c r="Q150" s="210">
        <v>0</v>
      </c>
      <c r="R150" s="211">
        <f t="shared" si="71"/>
        <v>12.119170371461387</v>
      </c>
    </row>
    <row r="151" spans="1:19" s="230" customFormat="1" x14ac:dyDescent="0.25">
      <c r="A151" s="163">
        <v>12</v>
      </c>
      <c r="B151" s="228">
        <f t="shared" si="65"/>
        <v>43800</v>
      </c>
      <c r="C151" s="226">
        <f t="shared" si="60"/>
        <v>43833</v>
      </c>
      <c r="D151" s="226">
        <f t="shared" si="60"/>
        <v>43850</v>
      </c>
      <c r="E151" s="229" t="s">
        <v>16</v>
      </c>
      <c r="F151" s="174">
        <v>9</v>
      </c>
      <c r="G151" s="217">
        <v>4</v>
      </c>
      <c r="H151" s="218">
        <f t="shared" si="63"/>
        <v>3.4452834394041285</v>
      </c>
      <c r="I151" s="218">
        <f t="shared" si="64"/>
        <v>6.3301120928520218</v>
      </c>
      <c r="J151" s="219">
        <f t="shared" si="66"/>
        <v>25.320448371408087</v>
      </c>
      <c r="K151" s="220">
        <f t="shared" si="58"/>
        <v>13.781133757616514</v>
      </c>
      <c r="L151" s="221">
        <f t="shared" si="62"/>
        <v>11.539314613791573</v>
      </c>
      <c r="M151" s="210">
        <f t="shared" si="67"/>
        <v>0.57985575766981379</v>
      </c>
      <c r="N151" s="211">
        <f t="shared" si="68"/>
        <v>12.119170371461387</v>
      </c>
      <c r="O151" s="210">
        <f t="shared" si="69"/>
        <v>0</v>
      </c>
      <c r="P151" s="210">
        <f t="shared" si="70"/>
        <v>0</v>
      </c>
      <c r="Q151" s="210">
        <v>0</v>
      </c>
      <c r="R151" s="211">
        <f t="shared" si="71"/>
        <v>12.119170371461387</v>
      </c>
    </row>
    <row r="152" spans="1:19" x14ac:dyDescent="0.25">
      <c r="A152" s="126">
        <v>1</v>
      </c>
      <c r="B152" s="202">
        <f t="shared" si="65"/>
        <v>43466</v>
      </c>
      <c r="C152" s="223">
        <f t="shared" ref="C152:D171" si="72">+C140</f>
        <v>43501</v>
      </c>
      <c r="D152" s="223">
        <f t="shared" si="72"/>
        <v>43516</v>
      </c>
      <c r="E152" s="233" t="s">
        <v>55</v>
      </c>
      <c r="F152" s="126">
        <v>9</v>
      </c>
      <c r="G152" s="205">
        <v>108</v>
      </c>
      <c r="H152" s="206">
        <f t="shared" ref="H152:H158" si="73">+$K$6</f>
        <v>3.4452834394041285</v>
      </c>
      <c r="I152" s="206">
        <f t="shared" si="64"/>
        <v>6.3301120928520218</v>
      </c>
      <c r="J152" s="207">
        <f t="shared" si="66"/>
        <v>683.65210602801835</v>
      </c>
      <c r="K152" s="208">
        <f t="shared" si="58"/>
        <v>372.0906114556459</v>
      </c>
      <c r="L152" s="209">
        <f t="shared" si="62"/>
        <v>311.56149457237245</v>
      </c>
      <c r="M152" s="210">
        <f t="shared" si="67"/>
        <v>15.656105457084971</v>
      </c>
      <c r="N152" s="211">
        <f t="shared" si="68"/>
        <v>327.2176000294574</v>
      </c>
      <c r="O152" s="210">
        <f t="shared" si="69"/>
        <v>0</v>
      </c>
      <c r="P152" s="210">
        <f t="shared" si="70"/>
        <v>0</v>
      </c>
      <c r="Q152" s="210">
        <v>0</v>
      </c>
      <c r="R152" s="211">
        <f t="shared" si="71"/>
        <v>327.2176000294574</v>
      </c>
    </row>
    <row r="153" spans="1:19" x14ac:dyDescent="0.25">
      <c r="A153" s="163">
        <v>2</v>
      </c>
      <c r="B153" s="202">
        <f t="shared" si="65"/>
        <v>43497</v>
      </c>
      <c r="C153" s="226">
        <f t="shared" si="72"/>
        <v>43529</v>
      </c>
      <c r="D153" s="226">
        <f t="shared" si="72"/>
        <v>43544</v>
      </c>
      <c r="E153" s="234" t="s">
        <v>55</v>
      </c>
      <c r="F153" s="163">
        <v>9</v>
      </c>
      <c r="G153" s="205">
        <v>116</v>
      </c>
      <c r="H153" s="206">
        <f t="shared" si="73"/>
        <v>3.4452834394041285</v>
      </c>
      <c r="I153" s="206">
        <f t="shared" si="64"/>
        <v>6.3301120928520218</v>
      </c>
      <c r="J153" s="207">
        <f t="shared" si="66"/>
        <v>734.29300277083451</v>
      </c>
      <c r="K153" s="208">
        <f t="shared" si="58"/>
        <v>399.65287897087893</v>
      </c>
      <c r="L153" s="209">
        <f t="shared" si="62"/>
        <v>334.64012379995557</v>
      </c>
      <c r="M153" s="210">
        <f t="shared" si="67"/>
        <v>16.815816972424599</v>
      </c>
      <c r="N153" s="211">
        <f t="shared" si="68"/>
        <v>351.45594077238019</v>
      </c>
      <c r="O153" s="210">
        <f t="shared" si="69"/>
        <v>0</v>
      </c>
      <c r="P153" s="210">
        <f t="shared" si="70"/>
        <v>0</v>
      </c>
      <c r="Q153" s="210">
        <v>0</v>
      </c>
      <c r="R153" s="211">
        <f t="shared" si="71"/>
        <v>351.45594077238019</v>
      </c>
    </row>
    <row r="154" spans="1:19" x14ac:dyDescent="0.25">
      <c r="A154" s="163">
        <v>3</v>
      </c>
      <c r="B154" s="202">
        <f t="shared" si="65"/>
        <v>43525</v>
      </c>
      <c r="C154" s="226">
        <f t="shared" si="72"/>
        <v>43558</v>
      </c>
      <c r="D154" s="226">
        <f t="shared" si="72"/>
        <v>43573</v>
      </c>
      <c r="E154" s="234" t="s">
        <v>55</v>
      </c>
      <c r="F154" s="163">
        <v>9</v>
      </c>
      <c r="G154" s="205">
        <v>115</v>
      </c>
      <c r="H154" s="206">
        <f t="shared" si="73"/>
        <v>3.4452834394041285</v>
      </c>
      <c r="I154" s="206">
        <f t="shared" si="64"/>
        <v>6.3301120928520218</v>
      </c>
      <c r="J154" s="207">
        <f t="shared" si="66"/>
        <v>727.9628906779825</v>
      </c>
      <c r="K154" s="208">
        <f t="shared" si="58"/>
        <v>396.20759553147479</v>
      </c>
      <c r="L154" s="209">
        <f>+J154-K154</f>
        <v>331.75529514650771</v>
      </c>
      <c r="M154" s="210">
        <f t="shared" si="67"/>
        <v>16.670853033007145</v>
      </c>
      <c r="N154" s="211">
        <f t="shared" si="68"/>
        <v>348.42614817951483</v>
      </c>
      <c r="O154" s="210">
        <f t="shared" si="69"/>
        <v>0</v>
      </c>
      <c r="P154" s="210">
        <f t="shared" si="70"/>
        <v>0</v>
      </c>
      <c r="Q154" s="210">
        <v>0</v>
      </c>
      <c r="R154" s="211">
        <f t="shared" si="71"/>
        <v>348.42614817951483</v>
      </c>
    </row>
    <row r="155" spans="1:19" x14ac:dyDescent="0.25">
      <c r="A155" s="126">
        <v>4</v>
      </c>
      <c r="B155" s="202">
        <f t="shared" si="65"/>
        <v>43556</v>
      </c>
      <c r="C155" s="226">
        <f t="shared" si="72"/>
        <v>43588</v>
      </c>
      <c r="D155" s="226">
        <f t="shared" si="72"/>
        <v>43605</v>
      </c>
      <c r="E155" s="234" t="s">
        <v>55</v>
      </c>
      <c r="F155" s="163">
        <v>9</v>
      </c>
      <c r="G155" s="205">
        <v>96</v>
      </c>
      <c r="H155" s="206">
        <f t="shared" si="73"/>
        <v>3.4452834394041285</v>
      </c>
      <c r="I155" s="206">
        <f t="shared" si="64"/>
        <v>6.3301120928520218</v>
      </c>
      <c r="J155" s="207">
        <f t="shared" si="66"/>
        <v>607.69076091379407</v>
      </c>
      <c r="K155" s="208">
        <f t="shared" si="58"/>
        <v>330.74721018279632</v>
      </c>
      <c r="L155" s="209">
        <f t="shared" ref="L155:L165" si="74">+J155-K155</f>
        <v>276.94355073099774</v>
      </c>
      <c r="M155" s="210">
        <f t="shared" si="67"/>
        <v>13.916538184075529</v>
      </c>
      <c r="N155" s="211">
        <f t="shared" si="68"/>
        <v>290.86008891507328</v>
      </c>
      <c r="O155" s="210">
        <f t="shared" si="69"/>
        <v>0</v>
      </c>
      <c r="P155" s="210">
        <f t="shared" si="70"/>
        <v>0</v>
      </c>
      <c r="Q155" s="210">
        <v>0</v>
      </c>
      <c r="R155" s="211">
        <f t="shared" si="71"/>
        <v>290.86008891507328</v>
      </c>
    </row>
    <row r="156" spans="1:19" x14ac:dyDescent="0.25">
      <c r="A156" s="163">
        <v>5</v>
      </c>
      <c r="B156" s="202">
        <f t="shared" si="65"/>
        <v>43586</v>
      </c>
      <c r="C156" s="226">
        <f t="shared" si="72"/>
        <v>43621</v>
      </c>
      <c r="D156" s="226">
        <f t="shared" si="72"/>
        <v>43636</v>
      </c>
      <c r="E156" s="234" t="s">
        <v>55</v>
      </c>
      <c r="F156" s="163">
        <v>9</v>
      </c>
      <c r="G156" s="205">
        <v>127</v>
      </c>
      <c r="H156" s="206">
        <f t="shared" si="73"/>
        <v>3.4452834394041285</v>
      </c>
      <c r="I156" s="206">
        <f t="shared" si="64"/>
        <v>6.3301120928520218</v>
      </c>
      <c r="J156" s="207">
        <f t="shared" si="66"/>
        <v>803.92423579220679</v>
      </c>
      <c r="K156" s="208">
        <f t="shared" si="58"/>
        <v>437.55099680432431</v>
      </c>
      <c r="L156" s="209">
        <f t="shared" si="74"/>
        <v>366.37323898788247</v>
      </c>
      <c r="M156" s="210">
        <f t="shared" si="67"/>
        <v>18.410420306016587</v>
      </c>
      <c r="N156" s="211">
        <f t="shared" si="68"/>
        <v>384.78365929389906</v>
      </c>
      <c r="O156" s="210">
        <f t="shared" si="69"/>
        <v>0</v>
      </c>
      <c r="P156" s="210">
        <f t="shared" si="70"/>
        <v>0</v>
      </c>
      <c r="Q156" s="210">
        <v>0</v>
      </c>
      <c r="R156" s="211">
        <f t="shared" si="71"/>
        <v>384.78365929389906</v>
      </c>
    </row>
    <row r="157" spans="1:19" x14ac:dyDescent="0.25">
      <c r="A157" s="163">
        <v>6</v>
      </c>
      <c r="B157" s="202">
        <f t="shared" si="65"/>
        <v>43617</v>
      </c>
      <c r="C157" s="226">
        <f t="shared" si="72"/>
        <v>43649</v>
      </c>
      <c r="D157" s="226">
        <f t="shared" si="72"/>
        <v>43664</v>
      </c>
      <c r="E157" s="234" t="s">
        <v>55</v>
      </c>
      <c r="F157" s="163">
        <v>9</v>
      </c>
      <c r="G157" s="205">
        <v>143</v>
      </c>
      <c r="H157" s="206">
        <f t="shared" si="73"/>
        <v>3.4452834394041285</v>
      </c>
      <c r="I157" s="206">
        <f t="shared" si="64"/>
        <v>6.3301120928520218</v>
      </c>
      <c r="J157" s="207">
        <f t="shared" si="66"/>
        <v>905.20602927783909</v>
      </c>
      <c r="K157" s="208">
        <f t="shared" si="58"/>
        <v>492.67553183479038</v>
      </c>
      <c r="L157" s="213">
        <f t="shared" si="74"/>
        <v>412.53049744304872</v>
      </c>
      <c r="M157" s="210">
        <f t="shared" si="67"/>
        <v>20.72984333669584</v>
      </c>
      <c r="N157" s="211">
        <f t="shared" si="68"/>
        <v>433.26034077974458</v>
      </c>
      <c r="O157" s="210">
        <f t="shared" si="69"/>
        <v>0</v>
      </c>
      <c r="P157" s="210">
        <f t="shared" si="70"/>
        <v>0</v>
      </c>
      <c r="Q157" s="210">
        <v>0</v>
      </c>
      <c r="R157" s="211">
        <f t="shared" si="71"/>
        <v>433.26034077974458</v>
      </c>
    </row>
    <row r="158" spans="1:19" x14ac:dyDescent="0.25">
      <c r="A158" s="126">
        <v>7</v>
      </c>
      <c r="B158" s="202">
        <f t="shared" si="65"/>
        <v>43647</v>
      </c>
      <c r="C158" s="226">
        <f t="shared" si="72"/>
        <v>43682</v>
      </c>
      <c r="D158" s="226">
        <f t="shared" si="72"/>
        <v>43697</v>
      </c>
      <c r="E158" s="234" t="s">
        <v>55</v>
      </c>
      <c r="F158" s="163">
        <v>9</v>
      </c>
      <c r="G158" s="205">
        <v>153</v>
      </c>
      <c r="H158" s="206">
        <f t="shared" si="73"/>
        <v>3.4452834394041285</v>
      </c>
      <c r="I158" s="206">
        <f t="shared" si="64"/>
        <v>6.3301120928520218</v>
      </c>
      <c r="J158" s="207">
        <f t="shared" si="66"/>
        <v>968.50715020635937</v>
      </c>
      <c r="K158" s="214">
        <f t="shared" si="58"/>
        <v>527.12836622883162</v>
      </c>
      <c r="L158" s="213">
        <f t="shared" si="74"/>
        <v>441.37878397752775</v>
      </c>
      <c r="M158" s="210">
        <f t="shared" si="67"/>
        <v>22.179482730870376</v>
      </c>
      <c r="N158" s="211">
        <f t="shared" si="68"/>
        <v>463.55826670839815</v>
      </c>
      <c r="O158" s="210">
        <f t="shared" si="69"/>
        <v>0</v>
      </c>
      <c r="P158" s="210">
        <f t="shared" si="70"/>
        <v>0</v>
      </c>
      <c r="Q158" s="210">
        <v>0</v>
      </c>
      <c r="R158" s="211">
        <f t="shared" si="71"/>
        <v>463.55826670839815</v>
      </c>
    </row>
    <row r="159" spans="1:19" x14ac:dyDescent="0.25">
      <c r="A159" s="163">
        <v>8</v>
      </c>
      <c r="B159" s="202">
        <f t="shared" si="65"/>
        <v>43678</v>
      </c>
      <c r="C159" s="226">
        <f t="shared" si="72"/>
        <v>43712</v>
      </c>
      <c r="D159" s="226">
        <f t="shared" si="72"/>
        <v>43727</v>
      </c>
      <c r="E159" s="234" t="s">
        <v>55</v>
      </c>
      <c r="F159" s="126">
        <v>9</v>
      </c>
      <c r="G159" s="205">
        <v>162</v>
      </c>
      <c r="H159" s="206">
        <f t="shared" ref="H159:H163" si="75">$K$3</f>
        <v>3.4452834394041285</v>
      </c>
      <c r="I159" s="206">
        <f t="shared" si="64"/>
        <v>6.3301120928520218</v>
      </c>
      <c r="J159" s="207">
        <f t="shared" si="66"/>
        <v>1025.4781590420275</v>
      </c>
      <c r="K159" s="214">
        <f t="shared" si="58"/>
        <v>558.13591718346879</v>
      </c>
      <c r="L159" s="213">
        <f t="shared" si="74"/>
        <v>467.34224185855874</v>
      </c>
      <c r="M159" s="210">
        <f t="shared" si="67"/>
        <v>23.484158185627454</v>
      </c>
      <c r="N159" s="211">
        <f t="shared" si="68"/>
        <v>490.82640004418619</v>
      </c>
      <c r="O159" s="210">
        <f t="shared" si="69"/>
        <v>0</v>
      </c>
      <c r="P159" s="210">
        <f t="shared" si="70"/>
        <v>0</v>
      </c>
      <c r="Q159" s="210">
        <v>0</v>
      </c>
      <c r="R159" s="211">
        <f t="shared" si="71"/>
        <v>490.82640004418619</v>
      </c>
      <c r="S159" s="52"/>
    </row>
    <row r="160" spans="1:19" x14ac:dyDescent="0.25">
      <c r="A160" s="163">
        <v>9</v>
      </c>
      <c r="B160" s="202">
        <f t="shared" si="65"/>
        <v>43709</v>
      </c>
      <c r="C160" s="226">
        <f t="shared" si="72"/>
        <v>43741</v>
      </c>
      <c r="D160" s="226">
        <f t="shared" si="72"/>
        <v>43756</v>
      </c>
      <c r="E160" s="234" t="s">
        <v>55</v>
      </c>
      <c r="F160" s="126">
        <v>9</v>
      </c>
      <c r="G160" s="205">
        <v>145</v>
      </c>
      <c r="H160" s="206">
        <f t="shared" si="75"/>
        <v>3.4452834394041285</v>
      </c>
      <c r="I160" s="206">
        <f t="shared" si="64"/>
        <v>6.3301120928520218</v>
      </c>
      <c r="J160" s="207">
        <f t="shared" si="66"/>
        <v>917.86625346354322</v>
      </c>
      <c r="K160" s="214">
        <f t="shared" si="58"/>
        <v>499.56609871359865</v>
      </c>
      <c r="L160" s="213">
        <f t="shared" si="74"/>
        <v>418.30015474994457</v>
      </c>
      <c r="M160" s="210">
        <f t="shared" si="67"/>
        <v>21.019771215530749</v>
      </c>
      <c r="N160" s="211">
        <f t="shared" si="68"/>
        <v>439.31992596547531</v>
      </c>
      <c r="O160" s="210">
        <f t="shared" si="69"/>
        <v>0</v>
      </c>
      <c r="P160" s="210">
        <f t="shared" si="70"/>
        <v>0</v>
      </c>
      <c r="Q160" s="210">
        <v>0</v>
      </c>
      <c r="R160" s="211">
        <f t="shared" si="71"/>
        <v>439.31992596547531</v>
      </c>
    </row>
    <row r="161" spans="1:19" x14ac:dyDescent="0.25">
      <c r="A161" s="126">
        <v>10</v>
      </c>
      <c r="B161" s="202">
        <f t="shared" si="65"/>
        <v>43739</v>
      </c>
      <c r="C161" s="226">
        <f t="shared" si="72"/>
        <v>43774</v>
      </c>
      <c r="D161" s="226">
        <f t="shared" si="72"/>
        <v>43789</v>
      </c>
      <c r="E161" s="234" t="s">
        <v>55</v>
      </c>
      <c r="F161" s="126">
        <v>9</v>
      </c>
      <c r="G161" s="205">
        <v>134</v>
      </c>
      <c r="H161" s="206">
        <f t="shared" si="75"/>
        <v>3.4452834394041285</v>
      </c>
      <c r="I161" s="206">
        <f t="shared" si="64"/>
        <v>6.3301120928520218</v>
      </c>
      <c r="J161" s="207">
        <f t="shared" si="66"/>
        <v>848.23502044217093</v>
      </c>
      <c r="K161" s="214">
        <f t="shared" si="58"/>
        <v>461.66798088015321</v>
      </c>
      <c r="L161" s="213">
        <f t="shared" si="74"/>
        <v>386.56703956201773</v>
      </c>
      <c r="M161" s="210">
        <f t="shared" si="67"/>
        <v>19.425167881938759</v>
      </c>
      <c r="N161" s="211">
        <f t="shared" si="68"/>
        <v>405.99220744395649</v>
      </c>
      <c r="O161" s="210">
        <f t="shared" si="69"/>
        <v>0</v>
      </c>
      <c r="P161" s="210">
        <f t="shared" si="70"/>
        <v>0</v>
      </c>
      <c r="Q161" s="210">
        <v>0</v>
      </c>
      <c r="R161" s="211">
        <f t="shared" si="71"/>
        <v>405.99220744395649</v>
      </c>
    </row>
    <row r="162" spans="1:19" x14ac:dyDescent="0.25">
      <c r="A162" s="163">
        <v>11</v>
      </c>
      <c r="B162" s="202">
        <f t="shared" si="65"/>
        <v>43770</v>
      </c>
      <c r="C162" s="226">
        <f t="shared" si="72"/>
        <v>43803</v>
      </c>
      <c r="D162" s="226">
        <f t="shared" si="72"/>
        <v>43818</v>
      </c>
      <c r="E162" s="234" t="s">
        <v>55</v>
      </c>
      <c r="F162" s="126">
        <v>9</v>
      </c>
      <c r="G162" s="205">
        <v>105</v>
      </c>
      <c r="H162" s="206">
        <f t="shared" si="75"/>
        <v>3.4452834394041285</v>
      </c>
      <c r="I162" s="206">
        <f t="shared" si="64"/>
        <v>6.3301120928520218</v>
      </c>
      <c r="J162" s="207">
        <f t="shared" si="66"/>
        <v>664.66176974946234</v>
      </c>
      <c r="K162" s="214">
        <f t="shared" si="58"/>
        <v>361.75476113743349</v>
      </c>
      <c r="L162" s="213">
        <f t="shared" si="74"/>
        <v>302.90700861202885</v>
      </c>
      <c r="M162" s="210">
        <f t="shared" si="67"/>
        <v>15.221213638832609</v>
      </c>
      <c r="N162" s="211">
        <f t="shared" si="68"/>
        <v>318.12822225086143</v>
      </c>
      <c r="O162" s="210">
        <f t="shared" si="69"/>
        <v>0</v>
      </c>
      <c r="P162" s="210">
        <f t="shared" si="70"/>
        <v>0</v>
      </c>
      <c r="Q162" s="210">
        <v>0</v>
      </c>
      <c r="R162" s="211">
        <f t="shared" si="71"/>
        <v>318.12822225086143</v>
      </c>
    </row>
    <row r="163" spans="1:19" s="230" customFormat="1" x14ac:dyDescent="0.25">
      <c r="A163" s="163">
        <v>12</v>
      </c>
      <c r="B163" s="228">
        <f t="shared" si="65"/>
        <v>43800</v>
      </c>
      <c r="C163" s="226">
        <f t="shared" si="72"/>
        <v>43833</v>
      </c>
      <c r="D163" s="226">
        <f t="shared" si="72"/>
        <v>43850</v>
      </c>
      <c r="E163" s="235" t="s">
        <v>55</v>
      </c>
      <c r="F163" s="174">
        <v>9</v>
      </c>
      <c r="G163" s="217">
        <v>106</v>
      </c>
      <c r="H163" s="218">
        <f t="shared" si="75"/>
        <v>3.4452834394041285</v>
      </c>
      <c r="I163" s="218">
        <f t="shared" si="64"/>
        <v>6.3301120928520218</v>
      </c>
      <c r="J163" s="219">
        <f t="shared" si="66"/>
        <v>670.99188184231434</v>
      </c>
      <c r="K163" s="220">
        <f t="shared" si="58"/>
        <v>365.20004457683763</v>
      </c>
      <c r="L163" s="221">
        <f t="shared" si="74"/>
        <v>305.79183726547672</v>
      </c>
      <c r="M163" s="210">
        <f t="shared" si="67"/>
        <v>15.366177578250063</v>
      </c>
      <c r="N163" s="211">
        <f t="shared" si="68"/>
        <v>321.15801484372679</v>
      </c>
      <c r="O163" s="210">
        <f t="shared" si="69"/>
        <v>0</v>
      </c>
      <c r="P163" s="210">
        <f t="shared" si="70"/>
        <v>0</v>
      </c>
      <c r="Q163" s="210">
        <v>0</v>
      </c>
      <c r="R163" s="211">
        <f t="shared" si="71"/>
        <v>321.15801484372679</v>
      </c>
    </row>
    <row r="164" spans="1:19" x14ac:dyDescent="0.25">
      <c r="A164" s="126">
        <v>1</v>
      </c>
      <c r="B164" s="202">
        <f t="shared" si="65"/>
        <v>43466</v>
      </c>
      <c r="C164" s="223">
        <f t="shared" si="72"/>
        <v>43501</v>
      </c>
      <c r="D164" s="223">
        <f t="shared" si="72"/>
        <v>43516</v>
      </c>
      <c r="E164" s="233" t="s">
        <v>56</v>
      </c>
      <c r="F164" s="126">
        <v>9</v>
      </c>
      <c r="G164" s="205">
        <v>11</v>
      </c>
      <c r="H164" s="206">
        <f t="shared" ref="H164:H170" si="76">+$K$6</f>
        <v>3.4452834394041285</v>
      </c>
      <c r="I164" s="206">
        <f t="shared" si="64"/>
        <v>6.3301120928520218</v>
      </c>
      <c r="J164" s="207">
        <f t="shared" si="66"/>
        <v>69.631233021372239</v>
      </c>
      <c r="K164" s="208">
        <f t="shared" si="58"/>
        <v>37.898117833445411</v>
      </c>
      <c r="L164" s="209">
        <f t="shared" si="74"/>
        <v>31.733115187926828</v>
      </c>
      <c r="M164" s="210">
        <f t="shared" si="67"/>
        <v>1.5946033335919878</v>
      </c>
      <c r="N164" s="211">
        <f t="shared" si="68"/>
        <v>33.327718521518818</v>
      </c>
      <c r="O164" s="210">
        <f t="shared" si="69"/>
        <v>0</v>
      </c>
      <c r="P164" s="210">
        <f t="shared" si="70"/>
        <v>0</v>
      </c>
      <c r="Q164" s="210">
        <v>0</v>
      </c>
      <c r="R164" s="211">
        <f t="shared" si="71"/>
        <v>33.327718521518818</v>
      </c>
    </row>
    <row r="165" spans="1:19" x14ac:dyDescent="0.25">
      <c r="A165" s="163">
        <v>2</v>
      </c>
      <c r="B165" s="202">
        <f t="shared" si="65"/>
        <v>43497</v>
      </c>
      <c r="C165" s="226">
        <f t="shared" si="72"/>
        <v>43529</v>
      </c>
      <c r="D165" s="226">
        <f t="shared" si="72"/>
        <v>43544</v>
      </c>
      <c r="E165" s="234" t="s">
        <v>56</v>
      </c>
      <c r="F165" s="163">
        <v>9</v>
      </c>
      <c r="G165" s="205">
        <v>9</v>
      </c>
      <c r="H165" s="206">
        <f t="shared" si="76"/>
        <v>3.4452834394041285</v>
      </c>
      <c r="I165" s="206">
        <f t="shared" si="64"/>
        <v>6.3301120928520218</v>
      </c>
      <c r="J165" s="207">
        <f t="shared" si="66"/>
        <v>56.971008835668194</v>
      </c>
      <c r="K165" s="208">
        <f t="shared" si="58"/>
        <v>31.007550954637157</v>
      </c>
      <c r="L165" s="209">
        <f t="shared" si="74"/>
        <v>25.963457881031037</v>
      </c>
      <c r="M165" s="210">
        <f t="shared" si="67"/>
        <v>1.3046754547570809</v>
      </c>
      <c r="N165" s="211">
        <f t="shared" si="68"/>
        <v>27.268133335788118</v>
      </c>
      <c r="O165" s="210">
        <f t="shared" si="69"/>
        <v>0</v>
      </c>
      <c r="P165" s="210">
        <f t="shared" si="70"/>
        <v>0</v>
      </c>
      <c r="Q165" s="210">
        <v>0</v>
      </c>
      <c r="R165" s="211">
        <f t="shared" si="71"/>
        <v>27.268133335788118</v>
      </c>
    </row>
    <row r="166" spans="1:19" x14ac:dyDescent="0.25">
      <c r="A166" s="163">
        <v>3</v>
      </c>
      <c r="B166" s="202">
        <f t="shared" si="65"/>
        <v>43525</v>
      </c>
      <c r="C166" s="226">
        <f t="shared" si="72"/>
        <v>43558</v>
      </c>
      <c r="D166" s="226">
        <f t="shared" si="72"/>
        <v>43573</v>
      </c>
      <c r="E166" s="234" t="s">
        <v>56</v>
      </c>
      <c r="F166" s="163">
        <v>9</v>
      </c>
      <c r="G166" s="205">
        <v>12</v>
      </c>
      <c r="H166" s="206">
        <f t="shared" si="76"/>
        <v>3.4452834394041285</v>
      </c>
      <c r="I166" s="206">
        <f t="shared" si="64"/>
        <v>6.3301120928520218</v>
      </c>
      <c r="J166" s="207">
        <f t="shared" si="66"/>
        <v>75.961345114224258</v>
      </c>
      <c r="K166" s="208">
        <f t="shared" si="58"/>
        <v>41.34340127284954</v>
      </c>
      <c r="L166" s="209">
        <f>+J166-K166</f>
        <v>34.617943841374718</v>
      </c>
      <c r="M166" s="210">
        <f t="shared" si="67"/>
        <v>1.7395672730094411</v>
      </c>
      <c r="N166" s="211">
        <f t="shared" si="68"/>
        <v>36.35751111438416</v>
      </c>
      <c r="O166" s="210">
        <f t="shared" si="69"/>
        <v>0</v>
      </c>
      <c r="P166" s="210">
        <f t="shared" si="70"/>
        <v>0</v>
      </c>
      <c r="Q166" s="210">
        <v>0</v>
      </c>
      <c r="R166" s="211">
        <f t="shared" si="71"/>
        <v>36.35751111438416</v>
      </c>
    </row>
    <row r="167" spans="1:19" x14ac:dyDescent="0.25">
      <c r="A167" s="126">
        <v>4</v>
      </c>
      <c r="B167" s="202">
        <f t="shared" si="65"/>
        <v>43556</v>
      </c>
      <c r="C167" s="226">
        <f t="shared" si="72"/>
        <v>43588</v>
      </c>
      <c r="D167" s="226">
        <f t="shared" si="72"/>
        <v>43605</v>
      </c>
      <c r="E167" s="234" t="s">
        <v>56</v>
      </c>
      <c r="F167" s="163">
        <v>9</v>
      </c>
      <c r="G167" s="205">
        <v>10</v>
      </c>
      <c r="H167" s="206">
        <f t="shared" si="76"/>
        <v>3.4452834394041285</v>
      </c>
      <c r="I167" s="206">
        <f t="shared" si="64"/>
        <v>6.3301120928520218</v>
      </c>
      <c r="J167" s="207">
        <f t="shared" si="66"/>
        <v>63.30112092852022</v>
      </c>
      <c r="K167" s="208">
        <f t="shared" si="58"/>
        <v>34.452834394041282</v>
      </c>
      <c r="L167" s="209">
        <f t="shared" ref="L167:L177" si="77">+J167-K167</f>
        <v>28.848286534478937</v>
      </c>
      <c r="M167" s="210">
        <f t="shared" si="67"/>
        <v>1.4496393941745342</v>
      </c>
      <c r="N167" s="211">
        <f t="shared" si="68"/>
        <v>30.29792592865347</v>
      </c>
      <c r="O167" s="210">
        <f t="shared" si="69"/>
        <v>0</v>
      </c>
      <c r="P167" s="210">
        <f t="shared" si="70"/>
        <v>0</v>
      </c>
      <c r="Q167" s="210">
        <v>0</v>
      </c>
      <c r="R167" s="211">
        <f t="shared" si="71"/>
        <v>30.29792592865347</v>
      </c>
    </row>
    <row r="168" spans="1:19" x14ac:dyDescent="0.25">
      <c r="A168" s="163">
        <v>5</v>
      </c>
      <c r="B168" s="202">
        <f t="shared" si="65"/>
        <v>43586</v>
      </c>
      <c r="C168" s="226">
        <f t="shared" si="72"/>
        <v>43621</v>
      </c>
      <c r="D168" s="226">
        <f t="shared" si="72"/>
        <v>43636</v>
      </c>
      <c r="E168" s="234" t="s">
        <v>56</v>
      </c>
      <c r="F168" s="163">
        <v>9</v>
      </c>
      <c r="G168" s="205">
        <v>13</v>
      </c>
      <c r="H168" s="206">
        <f t="shared" si="76"/>
        <v>3.4452834394041285</v>
      </c>
      <c r="I168" s="206">
        <f t="shared" si="64"/>
        <v>6.3301120928520218</v>
      </c>
      <c r="J168" s="207">
        <f t="shared" si="66"/>
        <v>82.291457207076277</v>
      </c>
      <c r="K168" s="208">
        <f t="shared" si="58"/>
        <v>44.788684712253669</v>
      </c>
      <c r="L168" s="209">
        <f t="shared" si="77"/>
        <v>37.502772494822608</v>
      </c>
      <c r="M168" s="210">
        <f t="shared" si="67"/>
        <v>1.8845312124268947</v>
      </c>
      <c r="N168" s="211">
        <f t="shared" si="68"/>
        <v>39.387303707249501</v>
      </c>
      <c r="O168" s="210">
        <f t="shared" si="69"/>
        <v>0</v>
      </c>
      <c r="P168" s="210">
        <f t="shared" si="70"/>
        <v>0</v>
      </c>
      <c r="Q168" s="210">
        <v>0</v>
      </c>
      <c r="R168" s="211">
        <f t="shared" si="71"/>
        <v>39.387303707249501</v>
      </c>
    </row>
    <row r="169" spans="1:19" x14ac:dyDescent="0.25">
      <c r="A169" s="163">
        <v>6</v>
      </c>
      <c r="B169" s="202">
        <f t="shared" si="65"/>
        <v>43617</v>
      </c>
      <c r="C169" s="226">
        <f t="shared" si="72"/>
        <v>43649</v>
      </c>
      <c r="D169" s="226">
        <f t="shared" si="72"/>
        <v>43664</v>
      </c>
      <c r="E169" s="234" t="s">
        <v>56</v>
      </c>
      <c r="F169" s="163">
        <v>9</v>
      </c>
      <c r="G169" s="205">
        <v>12</v>
      </c>
      <c r="H169" s="206">
        <f t="shared" si="76"/>
        <v>3.4452834394041285</v>
      </c>
      <c r="I169" s="206">
        <f t="shared" si="64"/>
        <v>6.3301120928520218</v>
      </c>
      <c r="J169" s="207">
        <f t="shared" si="66"/>
        <v>75.961345114224258</v>
      </c>
      <c r="K169" s="208">
        <f t="shared" si="58"/>
        <v>41.34340127284954</v>
      </c>
      <c r="L169" s="213">
        <f t="shared" si="77"/>
        <v>34.617943841374718</v>
      </c>
      <c r="M169" s="210">
        <f t="shared" si="67"/>
        <v>1.7395672730094411</v>
      </c>
      <c r="N169" s="211">
        <f t="shared" si="68"/>
        <v>36.35751111438416</v>
      </c>
      <c r="O169" s="210">
        <f t="shared" si="69"/>
        <v>0</v>
      </c>
      <c r="P169" s="210">
        <f t="shared" si="70"/>
        <v>0</v>
      </c>
      <c r="Q169" s="210">
        <v>0</v>
      </c>
      <c r="R169" s="211">
        <f t="shared" si="71"/>
        <v>36.35751111438416</v>
      </c>
    </row>
    <row r="170" spans="1:19" x14ac:dyDescent="0.25">
      <c r="A170" s="126">
        <v>7</v>
      </c>
      <c r="B170" s="202">
        <f t="shared" si="65"/>
        <v>43647</v>
      </c>
      <c r="C170" s="226">
        <f t="shared" si="72"/>
        <v>43682</v>
      </c>
      <c r="D170" s="226">
        <f t="shared" si="72"/>
        <v>43697</v>
      </c>
      <c r="E170" s="234" t="s">
        <v>56</v>
      </c>
      <c r="F170" s="163">
        <v>9</v>
      </c>
      <c r="G170" s="205">
        <v>14</v>
      </c>
      <c r="H170" s="206">
        <f t="shared" si="76"/>
        <v>3.4452834394041285</v>
      </c>
      <c r="I170" s="206">
        <f t="shared" si="64"/>
        <v>6.3301120928520218</v>
      </c>
      <c r="J170" s="207">
        <f t="shared" si="66"/>
        <v>88.621569299928311</v>
      </c>
      <c r="K170" s="214">
        <f t="shared" si="58"/>
        <v>48.233968151657798</v>
      </c>
      <c r="L170" s="213">
        <f t="shared" si="77"/>
        <v>40.387601148270512</v>
      </c>
      <c r="M170" s="210">
        <f t="shared" si="67"/>
        <v>2.029495151844348</v>
      </c>
      <c r="N170" s="211">
        <f t="shared" si="68"/>
        <v>42.417096300114864</v>
      </c>
      <c r="O170" s="210">
        <f t="shared" si="69"/>
        <v>0</v>
      </c>
      <c r="P170" s="210">
        <f t="shared" si="70"/>
        <v>0</v>
      </c>
      <c r="Q170" s="210">
        <v>0</v>
      </c>
      <c r="R170" s="211">
        <f t="shared" si="71"/>
        <v>42.417096300114864</v>
      </c>
    </row>
    <row r="171" spans="1:19" x14ac:dyDescent="0.25">
      <c r="A171" s="163">
        <v>8</v>
      </c>
      <c r="B171" s="202">
        <f t="shared" si="65"/>
        <v>43678</v>
      </c>
      <c r="C171" s="226">
        <f t="shared" si="72"/>
        <v>43712</v>
      </c>
      <c r="D171" s="226">
        <f t="shared" si="72"/>
        <v>43727</v>
      </c>
      <c r="E171" s="234" t="s">
        <v>56</v>
      </c>
      <c r="F171" s="126">
        <v>9</v>
      </c>
      <c r="G171" s="205">
        <v>16</v>
      </c>
      <c r="H171" s="206">
        <f t="shared" ref="H171:H175" si="78">$K$3</f>
        <v>3.4452834394041285</v>
      </c>
      <c r="I171" s="206">
        <f t="shared" si="64"/>
        <v>6.3301120928520218</v>
      </c>
      <c r="J171" s="207">
        <f t="shared" si="66"/>
        <v>101.28179348563235</v>
      </c>
      <c r="K171" s="214">
        <f t="shared" si="58"/>
        <v>55.124535030466056</v>
      </c>
      <c r="L171" s="213">
        <f t="shared" si="77"/>
        <v>46.157258455166293</v>
      </c>
      <c r="M171" s="210">
        <f t="shared" si="67"/>
        <v>2.3194230306792551</v>
      </c>
      <c r="N171" s="211">
        <f t="shared" si="68"/>
        <v>48.476681485845546</v>
      </c>
      <c r="O171" s="210">
        <f t="shared" si="69"/>
        <v>0</v>
      </c>
      <c r="P171" s="210">
        <f t="shared" si="70"/>
        <v>0</v>
      </c>
      <c r="Q171" s="210">
        <v>0</v>
      </c>
      <c r="R171" s="211">
        <f t="shared" si="71"/>
        <v>48.476681485845546</v>
      </c>
      <c r="S171" s="52"/>
    </row>
    <row r="172" spans="1:19" x14ac:dyDescent="0.25">
      <c r="A172" s="163">
        <v>9</v>
      </c>
      <c r="B172" s="202">
        <f t="shared" si="65"/>
        <v>43709</v>
      </c>
      <c r="C172" s="226">
        <f t="shared" ref="C172:D175" si="79">+C160</f>
        <v>43741</v>
      </c>
      <c r="D172" s="226">
        <f t="shared" si="79"/>
        <v>43756</v>
      </c>
      <c r="E172" s="234" t="s">
        <v>56</v>
      </c>
      <c r="F172" s="126">
        <v>9</v>
      </c>
      <c r="G172" s="205">
        <v>13</v>
      </c>
      <c r="H172" s="206">
        <f t="shared" si="78"/>
        <v>3.4452834394041285</v>
      </c>
      <c r="I172" s="206">
        <f t="shared" si="64"/>
        <v>6.3301120928520218</v>
      </c>
      <c r="J172" s="207">
        <f t="shared" si="66"/>
        <v>82.291457207076277</v>
      </c>
      <c r="K172" s="214">
        <f t="shared" si="58"/>
        <v>44.788684712253669</v>
      </c>
      <c r="L172" s="213">
        <f t="shared" si="77"/>
        <v>37.502772494822608</v>
      </c>
      <c r="M172" s="210">
        <f t="shared" si="67"/>
        <v>1.8845312124268947</v>
      </c>
      <c r="N172" s="211">
        <f t="shared" si="68"/>
        <v>39.387303707249501</v>
      </c>
      <c r="O172" s="210">
        <f t="shared" si="69"/>
        <v>0</v>
      </c>
      <c r="P172" s="210">
        <f t="shared" si="70"/>
        <v>0</v>
      </c>
      <c r="Q172" s="210">
        <v>0</v>
      </c>
      <c r="R172" s="211">
        <f t="shared" si="71"/>
        <v>39.387303707249501</v>
      </c>
    </row>
    <row r="173" spans="1:19" x14ac:dyDescent="0.25">
      <c r="A173" s="126">
        <v>10</v>
      </c>
      <c r="B173" s="202">
        <f t="shared" si="65"/>
        <v>43739</v>
      </c>
      <c r="C173" s="226">
        <f t="shared" si="79"/>
        <v>43774</v>
      </c>
      <c r="D173" s="226">
        <f t="shared" si="79"/>
        <v>43789</v>
      </c>
      <c r="E173" s="234" t="s">
        <v>56</v>
      </c>
      <c r="F173" s="126">
        <v>9</v>
      </c>
      <c r="G173" s="205">
        <v>12</v>
      </c>
      <c r="H173" s="206">
        <f t="shared" si="78"/>
        <v>3.4452834394041285</v>
      </c>
      <c r="I173" s="206">
        <f t="shared" si="64"/>
        <v>6.3301120928520218</v>
      </c>
      <c r="J173" s="207">
        <f t="shared" si="66"/>
        <v>75.961345114224258</v>
      </c>
      <c r="K173" s="214">
        <f t="shared" si="58"/>
        <v>41.34340127284954</v>
      </c>
      <c r="L173" s="213">
        <f t="shared" si="77"/>
        <v>34.617943841374718</v>
      </c>
      <c r="M173" s="210">
        <f t="shared" si="67"/>
        <v>1.7395672730094411</v>
      </c>
      <c r="N173" s="211">
        <f t="shared" si="68"/>
        <v>36.35751111438416</v>
      </c>
      <c r="O173" s="210">
        <f t="shared" si="69"/>
        <v>0</v>
      </c>
      <c r="P173" s="210">
        <f t="shared" si="70"/>
        <v>0</v>
      </c>
      <c r="Q173" s="210">
        <v>0</v>
      </c>
      <c r="R173" s="211">
        <f t="shared" si="71"/>
        <v>36.35751111438416</v>
      </c>
    </row>
    <row r="174" spans="1:19" x14ac:dyDescent="0.25">
      <c r="A174" s="163">
        <v>11</v>
      </c>
      <c r="B174" s="202">
        <f t="shared" si="65"/>
        <v>43770</v>
      </c>
      <c r="C174" s="226">
        <f t="shared" si="79"/>
        <v>43803</v>
      </c>
      <c r="D174" s="226">
        <f t="shared" si="79"/>
        <v>43818</v>
      </c>
      <c r="E174" s="234" t="s">
        <v>56</v>
      </c>
      <c r="F174" s="126">
        <v>9</v>
      </c>
      <c r="G174" s="205">
        <v>9</v>
      </c>
      <c r="H174" s="206">
        <f t="shared" si="78"/>
        <v>3.4452834394041285</v>
      </c>
      <c r="I174" s="206">
        <f t="shared" si="64"/>
        <v>6.3301120928520218</v>
      </c>
      <c r="J174" s="207">
        <f t="shared" si="66"/>
        <v>56.971008835668194</v>
      </c>
      <c r="K174" s="214">
        <f t="shared" si="58"/>
        <v>31.007550954637157</v>
      </c>
      <c r="L174" s="213">
        <f t="shared" si="77"/>
        <v>25.963457881031037</v>
      </c>
      <c r="M174" s="210">
        <f t="shared" si="67"/>
        <v>1.3046754547570809</v>
      </c>
      <c r="N174" s="211">
        <f t="shared" si="68"/>
        <v>27.268133335788118</v>
      </c>
      <c r="O174" s="210">
        <f t="shared" si="69"/>
        <v>0</v>
      </c>
      <c r="P174" s="210">
        <f t="shared" si="70"/>
        <v>0</v>
      </c>
      <c r="Q174" s="210">
        <v>0</v>
      </c>
      <c r="R174" s="211">
        <f t="shared" si="71"/>
        <v>27.268133335788118</v>
      </c>
    </row>
    <row r="175" spans="1:19" s="230" customFormat="1" x14ac:dyDescent="0.25">
      <c r="A175" s="163">
        <v>12</v>
      </c>
      <c r="B175" s="228">
        <f t="shared" si="65"/>
        <v>43800</v>
      </c>
      <c r="C175" s="226">
        <f t="shared" si="79"/>
        <v>43833</v>
      </c>
      <c r="D175" s="226">
        <f t="shared" si="79"/>
        <v>43850</v>
      </c>
      <c r="E175" s="235" t="s">
        <v>56</v>
      </c>
      <c r="F175" s="174">
        <v>9</v>
      </c>
      <c r="G175" s="217">
        <v>10</v>
      </c>
      <c r="H175" s="218">
        <f t="shared" si="78"/>
        <v>3.4452834394041285</v>
      </c>
      <c r="I175" s="218">
        <f t="shared" si="64"/>
        <v>6.3301120928520218</v>
      </c>
      <c r="J175" s="219">
        <f t="shared" si="66"/>
        <v>63.30112092852022</v>
      </c>
      <c r="K175" s="220">
        <f t="shared" si="58"/>
        <v>34.452834394041282</v>
      </c>
      <c r="L175" s="221">
        <f t="shared" si="77"/>
        <v>28.848286534478937</v>
      </c>
      <c r="M175" s="210">
        <f t="shared" si="67"/>
        <v>1.4496393941745342</v>
      </c>
      <c r="N175" s="211">
        <f t="shared" si="68"/>
        <v>30.29792592865347</v>
      </c>
      <c r="O175" s="210">
        <f t="shared" si="69"/>
        <v>0</v>
      </c>
      <c r="P175" s="210">
        <f t="shared" si="70"/>
        <v>0</v>
      </c>
      <c r="Q175" s="210">
        <v>0</v>
      </c>
      <c r="R175" s="211">
        <f t="shared" si="71"/>
        <v>30.29792592865347</v>
      </c>
    </row>
    <row r="176" spans="1:19" x14ac:dyDescent="0.25">
      <c r="A176" s="126">
        <v>1</v>
      </c>
      <c r="B176" s="202">
        <f t="shared" si="65"/>
        <v>43466</v>
      </c>
      <c r="C176" s="223">
        <f t="shared" ref="C176:D187" si="80">+C152</f>
        <v>43501</v>
      </c>
      <c r="D176" s="223">
        <f t="shared" si="80"/>
        <v>43516</v>
      </c>
      <c r="E176" s="233" t="s">
        <v>57</v>
      </c>
      <c r="F176" s="163">
        <v>9</v>
      </c>
      <c r="G176" s="205">
        <v>22</v>
      </c>
      <c r="H176" s="206">
        <f t="shared" ref="H176:H182" si="81">+$K$6</f>
        <v>3.4452834394041285</v>
      </c>
      <c r="I176" s="206">
        <f t="shared" si="64"/>
        <v>6.3301120928520218</v>
      </c>
      <c r="J176" s="207">
        <f t="shared" si="66"/>
        <v>139.26246604274448</v>
      </c>
      <c r="K176" s="208">
        <f t="shared" si="58"/>
        <v>75.796235666890823</v>
      </c>
      <c r="L176" s="209">
        <f t="shared" si="77"/>
        <v>63.466230375853655</v>
      </c>
      <c r="M176" s="210">
        <f t="shared" si="67"/>
        <v>3.1892066671839756</v>
      </c>
      <c r="N176" s="211">
        <f t="shared" si="68"/>
        <v>66.655437043037637</v>
      </c>
      <c r="O176" s="210">
        <f t="shared" si="69"/>
        <v>0</v>
      </c>
      <c r="P176" s="210">
        <f t="shared" si="70"/>
        <v>0</v>
      </c>
      <c r="Q176" s="210">
        <v>0</v>
      </c>
      <c r="R176" s="211">
        <f t="shared" si="71"/>
        <v>66.655437043037637</v>
      </c>
    </row>
    <row r="177" spans="1:18" x14ac:dyDescent="0.25">
      <c r="A177" s="163">
        <v>2</v>
      </c>
      <c r="B177" s="202">
        <f t="shared" si="65"/>
        <v>43497</v>
      </c>
      <c r="C177" s="226">
        <f t="shared" si="80"/>
        <v>43529</v>
      </c>
      <c r="D177" s="226">
        <f t="shared" si="80"/>
        <v>43544</v>
      </c>
      <c r="E177" s="54" t="s">
        <v>57</v>
      </c>
      <c r="F177" s="163">
        <v>9</v>
      </c>
      <c r="G177" s="205">
        <v>20</v>
      </c>
      <c r="H177" s="206">
        <f t="shared" si="81"/>
        <v>3.4452834394041285</v>
      </c>
      <c r="I177" s="206">
        <f t="shared" si="64"/>
        <v>6.3301120928520218</v>
      </c>
      <c r="J177" s="207">
        <f t="shared" si="66"/>
        <v>126.60224185704044</v>
      </c>
      <c r="K177" s="208">
        <f t="shared" si="58"/>
        <v>68.905668788082565</v>
      </c>
      <c r="L177" s="209">
        <f t="shared" si="77"/>
        <v>57.696573068957875</v>
      </c>
      <c r="M177" s="210">
        <f t="shared" si="67"/>
        <v>2.8992787883490685</v>
      </c>
      <c r="N177" s="211">
        <f t="shared" si="68"/>
        <v>60.59585185730694</v>
      </c>
      <c r="O177" s="210">
        <f t="shared" si="69"/>
        <v>0</v>
      </c>
      <c r="P177" s="210">
        <f t="shared" si="70"/>
        <v>0</v>
      </c>
      <c r="Q177" s="210">
        <v>0</v>
      </c>
      <c r="R177" s="211">
        <f t="shared" si="71"/>
        <v>60.59585185730694</v>
      </c>
    </row>
    <row r="178" spans="1:18" x14ac:dyDescent="0.25">
      <c r="A178" s="163">
        <v>3</v>
      </c>
      <c r="B178" s="202">
        <f t="shared" si="65"/>
        <v>43525</v>
      </c>
      <c r="C178" s="226">
        <f t="shared" si="80"/>
        <v>43558</v>
      </c>
      <c r="D178" s="226">
        <f t="shared" si="80"/>
        <v>43573</v>
      </c>
      <c r="E178" s="54" t="s">
        <v>57</v>
      </c>
      <c r="F178" s="163">
        <v>9</v>
      </c>
      <c r="G178" s="205">
        <v>21</v>
      </c>
      <c r="H178" s="206">
        <f t="shared" si="81"/>
        <v>3.4452834394041285</v>
      </c>
      <c r="I178" s="206">
        <f t="shared" si="64"/>
        <v>6.3301120928520218</v>
      </c>
      <c r="J178" s="207">
        <f t="shared" si="66"/>
        <v>132.93235394989244</v>
      </c>
      <c r="K178" s="208">
        <f t="shared" si="58"/>
        <v>72.350952227486701</v>
      </c>
      <c r="L178" s="209">
        <f>+J178-K178</f>
        <v>60.581401722405744</v>
      </c>
      <c r="M178" s="210">
        <f t="shared" si="67"/>
        <v>3.0442427277665218</v>
      </c>
      <c r="N178" s="211">
        <f t="shared" si="68"/>
        <v>63.625644450172267</v>
      </c>
      <c r="O178" s="210">
        <f t="shared" si="69"/>
        <v>0</v>
      </c>
      <c r="P178" s="210">
        <f t="shared" si="70"/>
        <v>0</v>
      </c>
      <c r="Q178" s="210">
        <v>0</v>
      </c>
      <c r="R178" s="211">
        <f t="shared" si="71"/>
        <v>63.625644450172267</v>
      </c>
    </row>
    <row r="179" spans="1:18" x14ac:dyDescent="0.25">
      <c r="A179" s="126">
        <v>4</v>
      </c>
      <c r="B179" s="202">
        <f t="shared" si="65"/>
        <v>43556</v>
      </c>
      <c r="C179" s="226">
        <f t="shared" si="80"/>
        <v>43588</v>
      </c>
      <c r="D179" s="226">
        <f t="shared" si="80"/>
        <v>43605</v>
      </c>
      <c r="E179" s="54" t="s">
        <v>57</v>
      </c>
      <c r="F179" s="163">
        <v>9</v>
      </c>
      <c r="G179" s="205">
        <v>21</v>
      </c>
      <c r="H179" s="206">
        <f t="shared" si="81"/>
        <v>3.4452834394041285</v>
      </c>
      <c r="I179" s="206">
        <f t="shared" si="64"/>
        <v>6.3301120928520218</v>
      </c>
      <c r="J179" s="207">
        <f t="shared" si="66"/>
        <v>132.93235394989244</v>
      </c>
      <c r="K179" s="208">
        <f t="shared" si="58"/>
        <v>72.350952227486701</v>
      </c>
      <c r="L179" s="209">
        <f t="shared" ref="L179:L189" si="82">+J179-K179</f>
        <v>60.581401722405744</v>
      </c>
      <c r="M179" s="210">
        <f t="shared" si="67"/>
        <v>3.0442427277665218</v>
      </c>
      <c r="N179" s="211">
        <f t="shared" si="68"/>
        <v>63.625644450172267</v>
      </c>
      <c r="O179" s="210">
        <f t="shared" si="69"/>
        <v>0</v>
      </c>
      <c r="P179" s="210">
        <f t="shared" si="70"/>
        <v>0</v>
      </c>
      <c r="Q179" s="210">
        <v>0</v>
      </c>
      <c r="R179" s="211">
        <f t="shared" si="71"/>
        <v>63.625644450172267</v>
      </c>
    </row>
    <row r="180" spans="1:18" x14ac:dyDescent="0.25">
      <c r="A180" s="163">
        <v>5</v>
      </c>
      <c r="B180" s="202">
        <f t="shared" si="65"/>
        <v>43586</v>
      </c>
      <c r="C180" s="226">
        <f t="shared" si="80"/>
        <v>43621</v>
      </c>
      <c r="D180" s="226">
        <f t="shared" si="80"/>
        <v>43636</v>
      </c>
      <c r="E180" s="54" t="s">
        <v>57</v>
      </c>
      <c r="F180" s="163">
        <v>9</v>
      </c>
      <c r="G180" s="205">
        <v>30</v>
      </c>
      <c r="H180" s="206">
        <f t="shared" si="81"/>
        <v>3.4452834394041285</v>
      </c>
      <c r="I180" s="206">
        <f t="shared" ref="I180:I211" si="83">$J$3</f>
        <v>6.3301120928520218</v>
      </c>
      <c r="J180" s="207">
        <f t="shared" si="66"/>
        <v>189.90336278556066</v>
      </c>
      <c r="K180" s="208">
        <f t="shared" si="58"/>
        <v>103.35850318212385</v>
      </c>
      <c r="L180" s="209">
        <f t="shared" si="82"/>
        <v>86.544859603436805</v>
      </c>
      <c r="M180" s="210">
        <f t="shared" si="67"/>
        <v>4.3489181825236027</v>
      </c>
      <c r="N180" s="211">
        <f t="shared" si="68"/>
        <v>90.89377778596041</v>
      </c>
      <c r="O180" s="210">
        <f t="shared" si="69"/>
        <v>0</v>
      </c>
      <c r="P180" s="210">
        <f t="shared" si="70"/>
        <v>0</v>
      </c>
      <c r="Q180" s="210">
        <v>0</v>
      </c>
      <c r="R180" s="211">
        <f t="shared" si="71"/>
        <v>90.89377778596041</v>
      </c>
    </row>
    <row r="181" spans="1:18" x14ac:dyDescent="0.25">
      <c r="A181" s="163">
        <v>6</v>
      </c>
      <c r="B181" s="202">
        <f t="shared" si="65"/>
        <v>43617</v>
      </c>
      <c r="C181" s="226">
        <f t="shared" si="80"/>
        <v>43649</v>
      </c>
      <c r="D181" s="226">
        <f t="shared" si="80"/>
        <v>43664</v>
      </c>
      <c r="E181" s="54" t="s">
        <v>57</v>
      </c>
      <c r="F181" s="163">
        <v>9</v>
      </c>
      <c r="G181" s="205">
        <v>32</v>
      </c>
      <c r="H181" s="206">
        <f t="shared" si="81"/>
        <v>3.4452834394041285</v>
      </c>
      <c r="I181" s="206">
        <f t="shared" si="83"/>
        <v>6.3301120928520218</v>
      </c>
      <c r="J181" s="207">
        <f t="shared" si="66"/>
        <v>202.5635869712647</v>
      </c>
      <c r="K181" s="208">
        <f t="shared" si="58"/>
        <v>110.24907006093211</v>
      </c>
      <c r="L181" s="213">
        <f t="shared" si="82"/>
        <v>92.314516910332586</v>
      </c>
      <c r="M181" s="210">
        <f t="shared" si="67"/>
        <v>4.6388460613585103</v>
      </c>
      <c r="N181" s="211">
        <f t="shared" si="68"/>
        <v>96.953362971691092</v>
      </c>
      <c r="O181" s="210">
        <f t="shared" si="69"/>
        <v>0</v>
      </c>
      <c r="P181" s="210">
        <f t="shared" si="70"/>
        <v>0</v>
      </c>
      <c r="Q181" s="210">
        <v>0</v>
      </c>
      <c r="R181" s="211">
        <f t="shared" si="71"/>
        <v>96.953362971691092</v>
      </c>
    </row>
    <row r="182" spans="1:18" x14ac:dyDescent="0.25">
      <c r="A182" s="126">
        <v>7</v>
      </c>
      <c r="B182" s="202">
        <f t="shared" si="65"/>
        <v>43647</v>
      </c>
      <c r="C182" s="226">
        <f t="shared" si="80"/>
        <v>43682</v>
      </c>
      <c r="D182" s="226">
        <f t="shared" si="80"/>
        <v>43697</v>
      </c>
      <c r="E182" s="54" t="s">
        <v>57</v>
      </c>
      <c r="F182" s="163">
        <v>9</v>
      </c>
      <c r="G182" s="205">
        <v>33</v>
      </c>
      <c r="H182" s="206">
        <f t="shared" si="81"/>
        <v>3.4452834394041285</v>
      </c>
      <c r="I182" s="206">
        <f t="shared" si="83"/>
        <v>6.3301120928520218</v>
      </c>
      <c r="J182" s="207">
        <f t="shared" si="66"/>
        <v>208.89369906411673</v>
      </c>
      <c r="K182" s="214">
        <f t="shared" si="58"/>
        <v>113.69435350033623</v>
      </c>
      <c r="L182" s="213">
        <f t="shared" si="82"/>
        <v>95.199345563780497</v>
      </c>
      <c r="M182" s="210">
        <f t="shared" si="67"/>
        <v>4.7838100007759632</v>
      </c>
      <c r="N182" s="211">
        <f t="shared" si="68"/>
        <v>99.983155564556455</v>
      </c>
      <c r="O182" s="210">
        <f t="shared" si="69"/>
        <v>0</v>
      </c>
      <c r="P182" s="210">
        <f t="shared" si="70"/>
        <v>0</v>
      </c>
      <c r="Q182" s="210">
        <v>0</v>
      </c>
      <c r="R182" s="211">
        <f t="shared" si="71"/>
        <v>99.983155564556455</v>
      </c>
    </row>
    <row r="183" spans="1:18" x14ac:dyDescent="0.25">
      <c r="A183" s="163">
        <v>8</v>
      </c>
      <c r="B183" s="202">
        <f t="shared" si="65"/>
        <v>43678</v>
      </c>
      <c r="C183" s="226">
        <f t="shared" si="80"/>
        <v>43712</v>
      </c>
      <c r="D183" s="226">
        <f t="shared" si="80"/>
        <v>43727</v>
      </c>
      <c r="E183" s="54" t="s">
        <v>57</v>
      </c>
      <c r="F183" s="163">
        <v>9</v>
      </c>
      <c r="G183" s="205">
        <v>36</v>
      </c>
      <c r="H183" s="206">
        <f t="shared" ref="H183:H187" si="84">$K$3</f>
        <v>3.4452834394041285</v>
      </c>
      <c r="I183" s="206">
        <f t="shared" si="83"/>
        <v>6.3301120928520218</v>
      </c>
      <c r="J183" s="207">
        <f t="shared" si="66"/>
        <v>227.88403534267277</v>
      </c>
      <c r="K183" s="214">
        <f t="shared" si="58"/>
        <v>124.03020381854863</v>
      </c>
      <c r="L183" s="213">
        <f t="shared" si="82"/>
        <v>103.85383152412415</v>
      </c>
      <c r="M183" s="210">
        <f t="shared" si="67"/>
        <v>5.2187018190283236</v>
      </c>
      <c r="N183" s="211">
        <f t="shared" si="68"/>
        <v>109.07253334315247</v>
      </c>
      <c r="O183" s="210">
        <f t="shared" si="69"/>
        <v>0</v>
      </c>
      <c r="P183" s="210">
        <f t="shared" si="70"/>
        <v>0</v>
      </c>
      <c r="Q183" s="210">
        <v>0</v>
      </c>
      <c r="R183" s="211">
        <f t="shared" si="71"/>
        <v>109.07253334315247</v>
      </c>
    </row>
    <row r="184" spans="1:18" x14ac:dyDescent="0.25">
      <c r="A184" s="163">
        <v>9</v>
      </c>
      <c r="B184" s="202">
        <f t="shared" si="65"/>
        <v>43709</v>
      </c>
      <c r="C184" s="226">
        <f t="shared" si="80"/>
        <v>43741</v>
      </c>
      <c r="D184" s="226">
        <f t="shared" si="80"/>
        <v>43756</v>
      </c>
      <c r="E184" s="54" t="s">
        <v>57</v>
      </c>
      <c r="F184" s="163">
        <v>9</v>
      </c>
      <c r="G184" s="205">
        <v>34</v>
      </c>
      <c r="H184" s="206">
        <f t="shared" si="84"/>
        <v>3.4452834394041285</v>
      </c>
      <c r="I184" s="206">
        <f t="shared" si="83"/>
        <v>6.3301120928520218</v>
      </c>
      <c r="J184" s="207">
        <f t="shared" si="66"/>
        <v>215.22381115696874</v>
      </c>
      <c r="K184" s="214">
        <f t="shared" si="58"/>
        <v>117.13963693974037</v>
      </c>
      <c r="L184" s="213">
        <f t="shared" si="82"/>
        <v>98.084174217228366</v>
      </c>
      <c r="M184" s="210">
        <f t="shared" si="67"/>
        <v>4.928773940193417</v>
      </c>
      <c r="N184" s="211">
        <f t="shared" si="68"/>
        <v>103.01294815742179</v>
      </c>
      <c r="O184" s="210">
        <f t="shared" si="69"/>
        <v>0</v>
      </c>
      <c r="P184" s="210">
        <f t="shared" si="70"/>
        <v>0</v>
      </c>
      <c r="Q184" s="210">
        <v>0</v>
      </c>
      <c r="R184" s="211">
        <f t="shared" si="71"/>
        <v>103.01294815742179</v>
      </c>
    </row>
    <row r="185" spans="1:18" x14ac:dyDescent="0.25">
      <c r="A185" s="126">
        <v>10</v>
      </c>
      <c r="B185" s="202">
        <f t="shared" si="65"/>
        <v>43739</v>
      </c>
      <c r="C185" s="226">
        <f t="shared" si="80"/>
        <v>43774</v>
      </c>
      <c r="D185" s="226">
        <f t="shared" si="80"/>
        <v>43789</v>
      </c>
      <c r="E185" s="54" t="s">
        <v>57</v>
      </c>
      <c r="F185" s="163">
        <v>9</v>
      </c>
      <c r="G185" s="205">
        <v>34</v>
      </c>
      <c r="H185" s="206">
        <f t="shared" si="84"/>
        <v>3.4452834394041285</v>
      </c>
      <c r="I185" s="206">
        <f t="shared" si="83"/>
        <v>6.3301120928520218</v>
      </c>
      <c r="J185" s="207">
        <f t="shared" si="66"/>
        <v>215.22381115696874</v>
      </c>
      <c r="K185" s="214">
        <f t="shared" si="58"/>
        <v>117.13963693974037</v>
      </c>
      <c r="L185" s="213">
        <f t="shared" si="82"/>
        <v>98.084174217228366</v>
      </c>
      <c r="M185" s="210">
        <f t="shared" si="67"/>
        <v>4.928773940193417</v>
      </c>
      <c r="N185" s="211">
        <f t="shared" si="68"/>
        <v>103.01294815742179</v>
      </c>
      <c r="O185" s="210">
        <f t="shared" si="69"/>
        <v>0</v>
      </c>
      <c r="P185" s="210">
        <f t="shared" si="70"/>
        <v>0</v>
      </c>
      <c r="Q185" s="210">
        <v>0</v>
      </c>
      <c r="R185" s="211">
        <f t="shared" si="71"/>
        <v>103.01294815742179</v>
      </c>
    </row>
    <row r="186" spans="1:18" x14ac:dyDescent="0.25">
      <c r="A186" s="163">
        <v>11</v>
      </c>
      <c r="B186" s="202">
        <f t="shared" si="65"/>
        <v>43770</v>
      </c>
      <c r="C186" s="226">
        <f t="shared" si="80"/>
        <v>43803</v>
      </c>
      <c r="D186" s="226">
        <f t="shared" si="80"/>
        <v>43818</v>
      </c>
      <c r="E186" s="54" t="s">
        <v>57</v>
      </c>
      <c r="F186" s="163">
        <v>9</v>
      </c>
      <c r="G186" s="205">
        <v>21</v>
      </c>
      <c r="H186" s="206">
        <f t="shared" si="84"/>
        <v>3.4452834394041285</v>
      </c>
      <c r="I186" s="206">
        <f t="shared" si="83"/>
        <v>6.3301120928520218</v>
      </c>
      <c r="J186" s="207">
        <f t="shared" si="66"/>
        <v>132.93235394989244</v>
      </c>
      <c r="K186" s="214">
        <f t="shared" si="58"/>
        <v>72.350952227486701</v>
      </c>
      <c r="L186" s="213">
        <f t="shared" si="82"/>
        <v>60.581401722405744</v>
      </c>
      <c r="M186" s="210">
        <f t="shared" si="67"/>
        <v>3.0442427277665218</v>
      </c>
      <c r="N186" s="211">
        <f t="shared" si="68"/>
        <v>63.625644450172267</v>
      </c>
      <c r="O186" s="210">
        <f t="shared" si="69"/>
        <v>0</v>
      </c>
      <c r="P186" s="210">
        <f t="shared" si="70"/>
        <v>0</v>
      </c>
      <c r="Q186" s="210">
        <v>0</v>
      </c>
      <c r="R186" s="211">
        <f t="shared" si="71"/>
        <v>63.625644450172267</v>
      </c>
    </row>
    <row r="187" spans="1:18" s="230" customFormat="1" x14ac:dyDescent="0.25">
      <c r="A187" s="163">
        <v>12</v>
      </c>
      <c r="B187" s="228">
        <f t="shared" si="65"/>
        <v>43800</v>
      </c>
      <c r="C187" s="226">
        <f t="shared" si="80"/>
        <v>43833</v>
      </c>
      <c r="D187" s="226">
        <f t="shared" si="80"/>
        <v>43850</v>
      </c>
      <c r="E187" s="229" t="s">
        <v>57</v>
      </c>
      <c r="F187" s="174">
        <v>9</v>
      </c>
      <c r="G187" s="217">
        <v>21</v>
      </c>
      <c r="H187" s="218">
        <f t="shared" si="84"/>
        <v>3.4452834394041285</v>
      </c>
      <c r="I187" s="218">
        <f t="shared" si="83"/>
        <v>6.3301120928520218</v>
      </c>
      <c r="J187" s="219">
        <f t="shared" si="66"/>
        <v>132.93235394989244</v>
      </c>
      <c r="K187" s="220">
        <f t="shared" si="58"/>
        <v>72.350952227486701</v>
      </c>
      <c r="L187" s="221">
        <f t="shared" si="82"/>
        <v>60.581401722405744</v>
      </c>
      <c r="M187" s="210">
        <f t="shared" si="67"/>
        <v>3.0442427277665218</v>
      </c>
      <c r="N187" s="211">
        <f t="shared" si="68"/>
        <v>63.625644450172267</v>
      </c>
      <c r="O187" s="210">
        <f t="shared" si="69"/>
        <v>0</v>
      </c>
      <c r="P187" s="210">
        <f t="shared" si="70"/>
        <v>0</v>
      </c>
      <c r="Q187" s="210">
        <v>0</v>
      </c>
      <c r="R187" s="211">
        <f t="shared" si="71"/>
        <v>63.625644450172267</v>
      </c>
    </row>
    <row r="188" spans="1:18" x14ac:dyDescent="0.25">
      <c r="A188" s="126">
        <v>1</v>
      </c>
      <c r="B188" s="202">
        <f t="shared" si="65"/>
        <v>43466</v>
      </c>
      <c r="C188" s="223">
        <f t="shared" ref="C188:D211" si="85">+C176</f>
        <v>43501</v>
      </c>
      <c r="D188" s="223">
        <f t="shared" si="85"/>
        <v>43516</v>
      </c>
      <c r="E188" s="204" t="s">
        <v>58</v>
      </c>
      <c r="F188" s="126">
        <v>9</v>
      </c>
      <c r="G188" s="205">
        <v>43</v>
      </c>
      <c r="H188" s="206">
        <f t="shared" ref="H188:H194" si="86">+$K$6</f>
        <v>3.4452834394041285</v>
      </c>
      <c r="I188" s="206">
        <f t="shared" si="83"/>
        <v>6.3301120928520218</v>
      </c>
      <c r="J188" s="207">
        <f t="shared" si="66"/>
        <v>272.19481999263695</v>
      </c>
      <c r="K188" s="208">
        <f t="shared" si="58"/>
        <v>148.14718789437754</v>
      </c>
      <c r="L188" s="209">
        <f t="shared" si="82"/>
        <v>124.04763209825941</v>
      </c>
      <c r="M188" s="210">
        <f t="shared" si="67"/>
        <v>6.2334493949504974</v>
      </c>
      <c r="N188" s="211">
        <f t="shared" si="68"/>
        <v>130.28108149320991</v>
      </c>
      <c r="O188" s="210">
        <f t="shared" si="69"/>
        <v>0</v>
      </c>
      <c r="P188" s="210">
        <f t="shared" si="70"/>
        <v>0</v>
      </c>
      <c r="Q188" s="210">
        <v>0</v>
      </c>
      <c r="R188" s="211">
        <f t="shared" si="71"/>
        <v>130.28108149320991</v>
      </c>
    </row>
    <row r="189" spans="1:18" x14ac:dyDescent="0.25">
      <c r="A189" s="163">
        <v>2</v>
      </c>
      <c r="B189" s="202">
        <f t="shared" si="65"/>
        <v>43497</v>
      </c>
      <c r="C189" s="226">
        <f t="shared" si="85"/>
        <v>43529</v>
      </c>
      <c r="D189" s="226">
        <f t="shared" si="85"/>
        <v>43544</v>
      </c>
      <c r="E189" s="212" t="s">
        <v>58</v>
      </c>
      <c r="F189" s="163">
        <v>9</v>
      </c>
      <c r="G189" s="205">
        <v>42</v>
      </c>
      <c r="H189" s="206">
        <f t="shared" si="86"/>
        <v>3.4452834394041285</v>
      </c>
      <c r="I189" s="206">
        <f t="shared" si="83"/>
        <v>6.3301120928520218</v>
      </c>
      <c r="J189" s="207">
        <f t="shared" si="66"/>
        <v>265.86470789978489</v>
      </c>
      <c r="K189" s="208">
        <f t="shared" si="58"/>
        <v>144.7019044549734</v>
      </c>
      <c r="L189" s="209">
        <f t="shared" si="82"/>
        <v>121.16280344481149</v>
      </c>
      <c r="M189" s="210">
        <f t="shared" si="67"/>
        <v>6.0884854555330437</v>
      </c>
      <c r="N189" s="211">
        <f t="shared" si="68"/>
        <v>127.25128890034453</v>
      </c>
      <c r="O189" s="210">
        <f t="shared" si="69"/>
        <v>0</v>
      </c>
      <c r="P189" s="210">
        <f t="shared" si="70"/>
        <v>0</v>
      </c>
      <c r="Q189" s="210">
        <v>0</v>
      </c>
      <c r="R189" s="211">
        <f t="shared" si="71"/>
        <v>127.25128890034453</v>
      </c>
    </row>
    <row r="190" spans="1:18" x14ac:dyDescent="0.25">
      <c r="A190" s="163">
        <v>3</v>
      </c>
      <c r="B190" s="202">
        <f t="shared" si="65"/>
        <v>43525</v>
      </c>
      <c r="C190" s="226">
        <f t="shared" si="85"/>
        <v>43558</v>
      </c>
      <c r="D190" s="226">
        <f t="shared" si="85"/>
        <v>43573</v>
      </c>
      <c r="E190" s="212" t="s">
        <v>58</v>
      </c>
      <c r="F190" s="163">
        <v>9</v>
      </c>
      <c r="G190" s="205">
        <v>42</v>
      </c>
      <c r="H190" s="206">
        <f t="shared" si="86"/>
        <v>3.4452834394041285</v>
      </c>
      <c r="I190" s="206">
        <f t="shared" si="83"/>
        <v>6.3301120928520218</v>
      </c>
      <c r="J190" s="207">
        <f t="shared" si="66"/>
        <v>265.86470789978489</v>
      </c>
      <c r="K190" s="208">
        <f t="shared" si="58"/>
        <v>144.7019044549734</v>
      </c>
      <c r="L190" s="209">
        <f>+J190-K190</f>
        <v>121.16280344481149</v>
      </c>
      <c r="M190" s="210">
        <f t="shared" si="67"/>
        <v>6.0884854555330437</v>
      </c>
      <c r="N190" s="211">
        <f t="shared" si="68"/>
        <v>127.25128890034453</v>
      </c>
      <c r="O190" s="210">
        <f t="shared" si="69"/>
        <v>0</v>
      </c>
      <c r="P190" s="210">
        <f t="shared" si="70"/>
        <v>0</v>
      </c>
      <c r="Q190" s="210">
        <v>0</v>
      </c>
      <c r="R190" s="211">
        <f t="shared" si="71"/>
        <v>127.25128890034453</v>
      </c>
    </row>
    <row r="191" spans="1:18" x14ac:dyDescent="0.25">
      <c r="A191" s="126">
        <v>4</v>
      </c>
      <c r="B191" s="202">
        <f t="shared" si="65"/>
        <v>43556</v>
      </c>
      <c r="C191" s="226">
        <f t="shared" si="85"/>
        <v>43588</v>
      </c>
      <c r="D191" s="226">
        <f t="shared" si="85"/>
        <v>43605</v>
      </c>
      <c r="E191" s="54" t="s">
        <v>58</v>
      </c>
      <c r="F191" s="163">
        <v>9</v>
      </c>
      <c r="G191" s="205">
        <v>39</v>
      </c>
      <c r="H191" s="206">
        <f t="shared" si="86"/>
        <v>3.4452834394041285</v>
      </c>
      <c r="I191" s="206">
        <f t="shared" si="83"/>
        <v>6.3301120928520218</v>
      </c>
      <c r="J191" s="207">
        <f t="shared" si="66"/>
        <v>246.87437162122885</v>
      </c>
      <c r="K191" s="208">
        <f t="shared" si="58"/>
        <v>134.36605413676102</v>
      </c>
      <c r="L191" s="209">
        <f t="shared" ref="L191:L201" si="87">+J191-K191</f>
        <v>112.50831748446782</v>
      </c>
      <c r="M191" s="210">
        <f t="shared" si="67"/>
        <v>5.6535936372806841</v>
      </c>
      <c r="N191" s="211">
        <f t="shared" si="68"/>
        <v>118.1619111217485</v>
      </c>
      <c r="O191" s="210">
        <f t="shared" si="69"/>
        <v>0</v>
      </c>
      <c r="P191" s="210">
        <f t="shared" si="70"/>
        <v>0</v>
      </c>
      <c r="Q191" s="210">
        <v>0</v>
      </c>
      <c r="R191" s="211">
        <f t="shared" si="71"/>
        <v>118.1619111217485</v>
      </c>
    </row>
    <row r="192" spans="1:18" x14ac:dyDescent="0.25">
      <c r="A192" s="163">
        <v>5</v>
      </c>
      <c r="B192" s="202">
        <f t="shared" si="65"/>
        <v>43586</v>
      </c>
      <c r="C192" s="226">
        <f t="shared" si="85"/>
        <v>43621</v>
      </c>
      <c r="D192" s="226">
        <f t="shared" si="85"/>
        <v>43636</v>
      </c>
      <c r="E192" s="54" t="s">
        <v>58</v>
      </c>
      <c r="F192" s="163">
        <v>9</v>
      </c>
      <c r="G192" s="205">
        <v>49</v>
      </c>
      <c r="H192" s="206">
        <f t="shared" si="86"/>
        <v>3.4452834394041285</v>
      </c>
      <c r="I192" s="206">
        <f t="shared" si="83"/>
        <v>6.3301120928520218</v>
      </c>
      <c r="J192" s="207">
        <f t="shared" si="66"/>
        <v>310.17549254974909</v>
      </c>
      <c r="K192" s="208">
        <f t="shared" si="58"/>
        <v>168.8188885308023</v>
      </c>
      <c r="L192" s="209">
        <f t="shared" si="87"/>
        <v>141.3566040189468</v>
      </c>
      <c r="M192" s="210">
        <f t="shared" si="67"/>
        <v>7.1032330314552183</v>
      </c>
      <c r="N192" s="211">
        <f t="shared" si="68"/>
        <v>148.45983705040203</v>
      </c>
      <c r="O192" s="210">
        <f t="shared" si="69"/>
        <v>0</v>
      </c>
      <c r="P192" s="210">
        <f t="shared" si="70"/>
        <v>0</v>
      </c>
      <c r="Q192" s="210">
        <v>0</v>
      </c>
      <c r="R192" s="211">
        <f t="shared" si="71"/>
        <v>148.45983705040203</v>
      </c>
    </row>
    <row r="193" spans="1:18" x14ac:dyDescent="0.25">
      <c r="A193" s="163">
        <v>6</v>
      </c>
      <c r="B193" s="202">
        <f t="shared" si="65"/>
        <v>43617</v>
      </c>
      <c r="C193" s="226">
        <f t="shared" si="85"/>
        <v>43649</v>
      </c>
      <c r="D193" s="226">
        <f t="shared" si="85"/>
        <v>43664</v>
      </c>
      <c r="E193" s="54" t="s">
        <v>58</v>
      </c>
      <c r="F193" s="163">
        <v>9</v>
      </c>
      <c r="G193" s="205">
        <v>52</v>
      </c>
      <c r="H193" s="206">
        <f t="shared" si="86"/>
        <v>3.4452834394041285</v>
      </c>
      <c r="I193" s="206">
        <f t="shared" si="83"/>
        <v>6.3301120928520218</v>
      </c>
      <c r="J193" s="207">
        <f t="shared" si="66"/>
        <v>329.16582882830511</v>
      </c>
      <c r="K193" s="208">
        <f t="shared" si="58"/>
        <v>179.15473884901468</v>
      </c>
      <c r="L193" s="213">
        <f t="shared" si="87"/>
        <v>150.01108997929043</v>
      </c>
      <c r="M193" s="210">
        <f t="shared" si="67"/>
        <v>7.5381248497075788</v>
      </c>
      <c r="N193" s="211">
        <f t="shared" si="68"/>
        <v>157.549214828998</v>
      </c>
      <c r="O193" s="210">
        <f t="shared" si="69"/>
        <v>0</v>
      </c>
      <c r="P193" s="210">
        <f t="shared" si="70"/>
        <v>0</v>
      </c>
      <c r="Q193" s="210">
        <v>0</v>
      </c>
      <c r="R193" s="211">
        <f t="shared" si="71"/>
        <v>157.549214828998</v>
      </c>
    </row>
    <row r="194" spans="1:18" x14ac:dyDescent="0.25">
      <c r="A194" s="126">
        <v>7</v>
      </c>
      <c r="B194" s="202">
        <f t="shared" si="65"/>
        <v>43647</v>
      </c>
      <c r="C194" s="226">
        <f t="shared" si="85"/>
        <v>43682</v>
      </c>
      <c r="D194" s="226">
        <f t="shared" si="85"/>
        <v>43697</v>
      </c>
      <c r="E194" s="54" t="s">
        <v>58</v>
      </c>
      <c r="F194" s="163">
        <v>9</v>
      </c>
      <c r="G194" s="205">
        <v>53</v>
      </c>
      <c r="H194" s="206">
        <f t="shared" si="86"/>
        <v>3.4452834394041285</v>
      </c>
      <c r="I194" s="206">
        <f t="shared" si="83"/>
        <v>6.3301120928520218</v>
      </c>
      <c r="J194" s="207">
        <f t="shared" si="66"/>
        <v>335.49594092115717</v>
      </c>
      <c r="K194" s="214">
        <f t="shared" si="58"/>
        <v>182.60002228841881</v>
      </c>
      <c r="L194" s="213">
        <f t="shared" si="87"/>
        <v>152.89591863273836</v>
      </c>
      <c r="M194" s="210">
        <f t="shared" si="67"/>
        <v>7.6830887891250317</v>
      </c>
      <c r="N194" s="211">
        <f t="shared" si="68"/>
        <v>160.57900742186339</v>
      </c>
      <c r="O194" s="210">
        <f t="shared" si="69"/>
        <v>0</v>
      </c>
      <c r="P194" s="210">
        <f t="shared" si="70"/>
        <v>0</v>
      </c>
      <c r="Q194" s="210">
        <v>0</v>
      </c>
      <c r="R194" s="211">
        <f t="shared" si="71"/>
        <v>160.57900742186339</v>
      </c>
    </row>
    <row r="195" spans="1:18" x14ac:dyDescent="0.25">
      <c r="A195" s="163">
        <v>8</v>
      </c>
      <c r="B195" s="202">
        <f t="shared" si="65"/>
        <v>43678</v>
      </c>
      <c r="C195" s="226">
        <f t="shared" si="85"/>
        <v>43712</v>
      </c>
      <c r="D195" s="226">
        <f t="shared" si="85"/>
        <v>43727</v>
      </c>
      <c r="E195" s="54" t="s">
        <v>58</v>
      </c>
      <c r="F195" s="163">
        <v>9</v>
      </c>
      <c r="G195" s="205">
        <v>53</v>
      </c>
      <c r="H195" s="206">
        <f t="shared" ref="H195:H199" si="88">$K$3</f>
        <v>3.4452834394041285</v>
      </c>
      <c r="I195" s="206">
        <f t="shared" si="83"/>
        <v>6.3301120928520218</v>
      </c>
      <c r="J195" s="207">
        <f t="shared" si="66"/>
        <v>335.49594092115717</v>
      </c>
      <c r="K195" s="214">
        <f t="shared" si="58"/>
        <v>182.60002228841881</v>
      </c>
      <c r="L195" s="213">
        <f t="shared" si="87"/>
        <v>152.89591863273836</v>
      </c>
      <c r="M195" s="210">
        <f t="shared" si="67"/>
        <v>7.6830887891250317</v>
      </c>
      <c r="N195" s="211">
        <f t="shared" si="68"/>
        <v>160.57900742186339</v>
      </c>
      <c r="O195" s="210">
        <f t="shared" si="69"/>
        <v>0</v>
      </c>
      <c r="P195" s="210">
        <f t="shared" si="70"/>
        <v>0</v>
      </c>
      <c r="Q195" s="210">
        <v>0</v>
      </c>
      <c r="R195" s="211">
        <f t="shared" si="71"/>
        <v>160.57900742186339</v>
      </c>
    </row>
    <row r="196" spans="1:18" x14ac:dyDescent="0.25">
      <c r="A196" s="163">
        <v>9</v>
      </c>
      <c r="B196" s="202">
        <f t="shared" si="65"/>
        <v>43709</v>
      </c>
      <c r="C196" s="226">
        <f t="shared" si="85"/>
        <v>43741</v>
      </c>
      <c r="D196" s="226">
        <f t="shared" si="85"/>
        <v>43756</v>
      </c>
      <c r="E196" s="54" t="s">
        <v>58</v>
      </c>
      <c r="F196" s="163">
        <v>9</v>
      </c>
      <c r="G196" s="205">
        <v>49</v>
      </c>
      <c r="H196" s="206">
        <f t="shared" si="88"/>
        <v>3.4452834394041285</v>
      </c>
      <c r="I196" s="206">
        <f t="shared" si="83"/>
        <v>6.3301120928520218</v>
      </c>
      <c r="J196" s="207">
        <f t="shared" si="66"/>
        <v>310.17549254974909</v>
      </c>
      <c r="K196" s="214">
        <f t="shared" si="58"/>
        <v>168.8188885308023</v>
      </c>
      <c r="L196" s="213">
        <f t="shared" si="87"/>
        <v>141.3566040189468</v>
      </c>
      <c r="M196" s="210">
        <f t="shared" si="67"/>
        <v>7.1032330314552183</v>
      </c>
      <c r="N196" s="211">
        <f t="shared" si="68"/>
        <v>148.45983705040203</v>
      </c>
      <c r="O196" s="210">
        <f t="shared" si="69"/>
        <v>0</v>
      </c>
      <c r="P196" s="210">
        <f t="shared" si="70"/>
        <v>0</v>
      </c>
      <c r="Q196" s="210">
        <v>0</v>
      </c>
      <c r="R196" s="211">
        <f t="shared" si="71"/>
        <v>148.45983705040203</v>
      </c>
    </row>
    <row r="197" spans="1:18" x14ac:dyDescent="0.25">
      <c r="A197" s="126">
        <v>10</v>
      </c>
      <c r="B197" s="202">
        <f t="shared" si="65"/>
        <v>43739</v>
      </c>
      <c r="C197" s="226">
        <f t="shared" si="85"/>
        <v>43774</v>
      </c>
      <c r="D197" s="226">
        <f t="shared" si="85"/>
        <v>43789</v>
      </c>
      <c r="E197" s="54" t="s">
        <v>58</v>
      </c>
      <c r="F197" s="163">
        <v>9</v>
      </c>
      <c r="G197" s="205">
        <v>49</v>
      </c>
      <c r="H197" s="206">
        <f t="shared" si="88"/>
        <v>3.4452834394041285</v>
      </c>
      <c r="I197" s="206">
        <f t="shared" si="83"/>
        <v>6.3301120928520218</v>
      </c>
      <c r="J197" s="207">
        <f t="shared" si="66"/>
        <v>310.17549254974909</v>
      </c>
      <c r="K197" s="214">
        <f t="shared" si="58"/>
        <v>168.8188885308023</v>
      </c>
      <c r="L197" s="213">
        <f t="shared" si="87"/>
        <v>141.3566040189468</v>
      </c>
      <c r="M197" s="210">
        <f t="shared" si="67"/>
        <v>7.1032330314552183</v>
      </c>
      <c r="N197" s="211">
        <f t="shared" si="68"/>
        <v>148.45983705040203</v>
      </c>
      <c r="O197" s="210">
        <f t="shared" si="69"/>
        <v>0</v>
      </c>
      <c r="P197" s="210">
        <f t="shared" si="70"/>
        <v>0</v>
      </c>
      <c r="Q197" s="210">
        <v>0</v>
      </c>
      <c r="R197" s="211">
        <f t="shared" si="71"/>
        <v>148.45983705040203</v>
      </c>
    </row>
    <row r="198" spans="1:18" x14ac:dyDescent="0.25">
      <c r="A198" s="163">
        <v>11</v>
      </c>
      <c r="B198" s="202">
        <f t="shared" si="65"/>
        <v>43770</v>
      </c>
      <c r="C198" s="226">
        <f t="shared" si="85"/>
        <v>43803</v>
      </c>
      <c r="D198" s="226">
        <f t="shared" si="85"/>
        <v>43818</v>
      </c>
      <c r="E198" s="54" t="s">
        <v>58</v>
      </c>
      <c r="F198" s="163">
        <v>9</v>
      </c>
      <c r="G198" s="205">
        <v>35</v>
      </c>
      <c r="H198" s="206">
        <f t="shared" si="88"/>
        <v>3.4452834394041285</v>
      </c>
      <c r="I198" s="206">
        <f t="shared" si="83"/>
        <v>6.3301120928520218</v>
      </c>
      <c r="J198" s="207">
        <f t="shared" si="66"/>
        <v>221.55392324982077</v>
      </c>
      <c r="K198" s="214">
        <f t="shared" ref="K198:K209" si="89">+$G198*H198</f>
        <v>120.58492037914449</v>
      </c>
      <c r="L198" s="213">
        <f t="shared" si="87"/>
        <v>100.96900287067628</v>
      </c>
      <c r="M198" s="210">
        <f t="shared" si="67"/>
        <v>5.0737378796108699</v>
      </c>
      <c r="N198" s="211">
        <f t="shared" si="68"/>
        <v>106.04274075028715</v>
      </c>
      <c r="O198" s="210">
        <f t="shared" si="69"/>
        <v>0</v>
      </c>
      <c r="P198" s="210">
        <f t="shared" si="70"/>
        <v>0</v>
      </c>
      <c r="Q198" s="210">
        <v>0</v>
      </c>
      <c r="R198" s="211">
        <f t="shared" si="71"/>
        <v>106.04274075028715</v>
      </c>
    </row>
    <row r="199" spans="1:18" s="230" customFormat="1" x14ac:dyDescent="0.25">
      <c r="A199" s="163">
        <v>12</v>
      </c>
      <c r="B199" s="228">
        <f t="shared" si="65"/>
        <v>43800</v>
      </c>
      <c r="C199" s="226">
        <f t="shared" si="85"/>
        <v>43833</v>
      </c>
      <c r="D199" s="226">
        <f t="shared" si="85"/>
        <v>43850</v>
      </c>
      <c r="E199" s="229" t="s">
        <v>58</v>
      </c>
      <c r="F199" s="174">
        <v>9</v>
      </c>
      <c r="G199" s="217">
        <v>35</v>
      </c>
      <c r="H199" s="218">
        <f t="shared" si="88"/>
        <v>3.4452834394041285</v>
      </c>
      <c r="I199" s="218">
        <f t="shared" si="83"/>
        <v>6.3301120928520218</v>
      </c>
      <c r="J199" s="219">
        <f t="shared" si="66"/>
        <v>221.55392324982077</v>
      </c>
      <c r="K199" s="220">
        <f t="shared" si="89"/>
        <v>120.58492037914449</v>
      </c>
      <c r="L199" s="221">
        <f t="shared" si="87"/>
        <v>100.96900287067628</v>
      </c>
      <c r="M199" s="210">
        <f t="shared" si="67"/>
        <v>5.0737378796108699</v>
      </c>
      <c r="N199" s="211">
        <f t="shared" si="68"/>
        <v>106.04274075028715</v>
      </c>
      <c r="O199" s="210">
        <f t="shared" si="69"/>
        <v>0</v>
      </c>
      <c r="P199" s="210">
        <f t="shared" si="70"/>
        <v>0</v>
      </c>
      <c r="Q199" s="210">
        <v>0</v>
      </c>
      <c r="R199" s="211">
        <f t="shared" si="71"/>
        <v>106.04274075028715</v>
      </c>
    </row>
    <row r="200" spans="1:18" x14ac:dyDescent="0.25">
      <c r="A200" s="126">
        <v>1</v>
      </c>
      <c r="B200" s="202">
        <f t="shared" si="65"/>
        <v>43466</v>
      </c>
      <c r="C200" s="223">
        <f t="shared" si="85"/>
        <v>43501</v>
      </c>
      <c r="D200" s="223">
        <f t="shared" si="85"/>
        <v>43516</v>
      </c>
      <c r="E200" s="204" t="s">
        <v>17</v>
      </c>
      <c r="F200" s="126">
        <v>9</v>
      </c>
      <c r="G200" s="205">
        <v>104</v>
      </c>
      <c r="H200" s="206">
        <f t="shared" ref="H200:H206" si="90">+$K$6</f>
        <v>3.4452834394041285</v>
      </c>
      <c r="I200" s="206">
        <f t="shared" si="83"/>
        <v>6.3301120928520218</v>
      </c>
      <c r="J200" s="207">
        <f t="shared" si="66"/>
        <v>658.33165765661022</v>
      </c>
      <c r="K200" s="208">
        <f t="shared" si="89"/>
        <v>358.30947769802935</v>
      </c>
      <c r="L200" s="209">
        <f t="shared" si="87"/>
        <v>300.02217995858086</v>
      </c>
      <c r="M200" s="210">
        <f t="shared" si="67"/>
        <v>15.076249699415158</v>
      </c>
      <c r="N200" s="211">
        <f t="shared" si="68"/>
        <v>315.09842965799601</v>
      </c>
      <c r="O200" s="210">
        <f t="shared" si="69"/>
        <v>0</v>
      </c>
      <c r="P200" s="210">
        <f t="shared" si="70"/>
        <v>0</v>
      </c>
      <c r="Q200" s="210">
        <v>0</v>
      </c>
      <c r="R200" s="211">
        <f t="shared" si="71"/>
        <v>315.09842965799601</v>
      </c>
    </row>
    <row r="201" spans="1:18" x14ac:dyDescent="0.25">
      <c r="A201" s="163">
        <v>2</v>
      </c>
      <c r="B201" s="202">
        <f t="shared" si="65"/>
        <v>43497</v>
      </c>
      <c r="C201" s="226">
        <f t="shared" si="85"/>
        <v>43529</v>
      </c>
      <c r="D201" s="226">
        <f t="shared" si="85"/>
        <v>43544</v>
      </c>
      <c r="E201" s="212" t="s">
        <v>17</v>
      </c>
      <c r="F201" s="163">
        <v>9</v>
      </c>
      <c r="G201" s="205">
        <v>103</v>
      </c>
      <c r="H201" s="206">
        <f t="shared" si="90"/>
        <v>3.4452834394041285</v>
      </c>
      <c r="I201" s="206">
        <f t="shared" si="83"/>
        <v>6.3301120928520218</v>
      </c>
      <c r="J201" s="207">
        <f t="shared" si="66"/>
        <v>652.00154556375821</v>
      </c>
      <c r="K201" s="208">
        <f t="shared" si="89"/>
        <v>354.86419425862522</v>
      </c>
      <c r="L201" s="209">
        <f t="shared" si="87"/>
        <v>297.137351305133</v>
      </c>
      <c r="M201" s="210">
        <f t="shared" si="67"/>
        <v>14.931285759997705</v>
      </c>
      <c r="N201" s="211">
        <f t="shared" si="68"/>
        <v>312.0686370651307</v>
      </c>
      <c r="O201" s="210">
        <f t="shared" si="69"/>
        <v>0</v>
      </c>
      <c r="P201" s="210">
        <f t="shared" si="70"/>
        <v>0</v>
      </c>
      <c r="Q201" s="210">
        <v>0</v>
      </c>
      <c r="R201" s="211">
        <f t="shared" si="71"/>
        <v>312.0686370651307</v>
      </c>
    </row>
    <row r="202" spans="1:18" x14ac:dyDescent="0.25">
      <c r="A202" s="163">
        <v>3</v>
      </c>
      <c r="B202" s="202">
        <f t="shared" si="65"/>
        <v>43525</v>
      </c>
      <c r="C202" s="226">
        <f t="shared" si="85"/>
        <v>43558</v>
      </c>
      <c r="D202" s="226">
        <f t="shared" si="85"/>
        <v>43573</v>
      </c>
      <c r="E202" s="212" t="s">
        <v>17</v>
      </c>
      <c r="F202" s="163">
        <v>9</v>
      </c>
      <c r="G202" s="205">
        <v>105</v>
      </c>
      <c r="H202" s="206">
        <f t="shared" si="90"/>
        <v>3.4452834394041285</v>
      </c>
      <c r="I202" s="206">
        <f t="shared" si="83"/>
        <v>6.3301120928520218</v>
      </c>
      <c r="J202" s="207">
        <f t="shared" si="66"/>
        <v>664.66176974946234</v>
      </c>
      <c r="K202" s="208">
        <f t="shared" si="89"/>
        <v>361.75476113743349</v>
      </c>
      <c r="L202" s="209">
        <f>+J202-K202</f>
        <v>302.90700861202885</v>
      </c>
      <c r="M202" s="210">
        <f t="shared" si="67"/>
        <v>15.221213638832609</v>
      </c>
      <c r="N202" s="211">
        <f t="shared" si="68"/>
        <v>318.12822225086143</v>
      </c>
      <c r="O202" s="210">
        <f t="shared" si="69"/>
        <v>0</v>
      </c>
      <c r="P202" s="210">
        <f t="shared" si="70"/>
        <v>0</v>
      </c>
      <c r="Q202" s="210">
        <v>0</v>
      </c>
      <c r="R202" s="211">
        <f t="shared" si="71"/>
        <v>318.12822225086143</v>
      </c>
    </row>
    <row r="203" spans="1:18" x14ac:dyDescent="0.25">
      <c r="A203" s="126">
        <v>4</v>
      </c>
      <c r="B203" s="202">
        <f t="shared" si="65"/>
        <v>43556</v>
      </c>
      <c r="C203" s="226">
        <f t="shared" si="85"/>
        <v>43588</v>
      </c>
      <c r="D203" s="226">
        <f t="shared" si="85"/>
        <v>43605</v>
      </c>
      <c r="E203" s="212" t="s">
        <v>17</v>
      </c>
      <c r="F203" s="163">
        <v>9</v>
      </c>
      <c r="G203" s="205">
        <v>104</v>
      </c>
      <c r="H203" s="206">
        <f t="shared" si="90"/>
        <v>3.4452834394041285</v>
      </c>
      <c r="I203" s="206">
        <f t="shared" si="83"/>
        <v>6.3301120928520218</v>
      </c>
      <c r="J203" s="207">
        <f t="shared" si="66"/>
        <v>658.33165765661022</v>
      </c>
      <c r="K203" s="208">
        <f t="shared" si="89"/>
        <v>358.30947769802935</v>
      </c>
      <c r="L203" s="209">
        <f t="shared" ref="L203:L211" si="91">+J203-K203</f>
        <v>300.02217995858086</v>
      </c>
      <c r="M203" s="210">
        <f t="shared" si="67"/>
        <v>15.076249699415158</v>
      </c>
      <c r="N203" s="211">
        <f t="shared" si="68"/>
        <v>315.09842965799601</v>
      </c>
      <c r="O203" s="210">
        <f t="shared" si="69"/>
        <v>0</v>
      </c>
      <c r="P203" s="210">
        <f t="shared" si="70"/>
        <v>0</v>
      </c>
      <c r="Q203" s="210">
        <v>0</v>
      </c>
      <c r="R203" s="211">
        <f t="shared" si="71"/>
        <v>315.09842965799601</v>
      </c>
    </row>
    <row r="204" spans="1:18" x14ac:dyDescent="0.25">
      <c r="A204" s="163">
        <v>5</v>
      </c>
      <c r="B204" s="202">
        <f t="shared" si="65"/>
        <v>43586</v>
      </c>
      <c r="C204" s="226">
        <f t="shared" si="85"/>
        <v>43621</v>
      </c>
      <c r="D204" s="226">
        <f t="shared" si="85"/>
        <v>43636</v>
      </c>
      <c r="E204" s="54" t="s">
        <v>17</v>
      </c>
      <c r="F204" s="163">
        <v>9</v>
      </c>
      <c r="G204" s="205">
        <v>106</v>
      </c>
      <c r="H204" s="206">
        <f t="shared" si="90"/>
        <v>3.4452834394041285</v>
      </c>
      <c r="I204" s="206">
        <f t="shared" si="83"/>
        <v>6.3301120928520218</v>
      </c>
      <c r="J204" s="207">
        <f t="shared" si="66"/>
        <v>670.99188184231434</v>
      </c>
      <c r="K204" s="208">
        <f t="shared" si="89"/>
        <v>365.20004457683763</v>
      </c>
      <c r="L204" s="209">
        <f t="shared" si="91"/>
        <v>305.79183726547672</v>
      </c>
      <c r="M204" s="210">
        <f t="shared" si="67"/>
        <v>15.366177578250063</v>
      </c>
      <c r="N204" s="211">
        <f t="shared" si="68"/>
        <v>321.15801484372679</v>
      </c>
      <c r="O204" s="210">
        <f t="shared" si="69"/>
        <v>0</v>
      </c>
      <c r="P204" s="210">
        <f t="shared" si="70"/>
        <v>0</v>
      </c>
      <c r="Q204" s="210">
        <v>0</v>
      </c>
      <c r="R204" s="211">
        <f t="shared" si="71"/>
        <v>321.15801484372679</v>
      </c>
    </row>
    <row r="205" spans="1:18" x14ac:dyDescent="0.25">
      <c r="A205" s="163">
        <v>6</v>
      </c>
      <c r="B205" s="202">
        <f t="shared" si="65"/>
        <v>43617</v>
      </c>
      <c r="C205" s="226">
        <f t="shared" si="85"/>
        <v>43649</v>
      </c>
      <c r="D205" s="226">
        <f t="shared" si="85"/>
        <v>43664</v>
      </c>
      <c r="E205" s="54" t="s">
        <v>17</v>
      </c>
      <c r="F205" s="163">
        <v>9</v>
      </c>
      <c r="G205" s="205">
        <v>100</v>
      </c>
      <c r="H205" s="206">
        <f t="shared" si="90"/>
        <v>3.4452834394041285</v>
      </c>
      <c r="I205" s="206">
        <f t="shared" si="83"/>
        <v>6.3301120928520218</v>
      </c>
      <c r="J205" s="207">
        <f t="shared" si="66"/>
        <v>633.0112092852022</v>
      </c>
      <c r="K205" s="208">
        <f t="shared" si="89"/>
        <v>344.52834394041287</v>
      </c>
      <c r="L205" s="213">
        <f t="shared" si="91"/>
        <v>288.48286534478933</v>
      </c>
      <c r="M205" s="210">
        <f t="shared" si="67"/>
        <v>14.496393941745342</v>
      </c>
      <c r="N205" s="211">
        <f t="shared" si="68"/>
        <v>302.97925928653467</v>
      </c>
      <c r="O205" s="210">
        <f t="shared" si="69"/>
        <v>0</v>
      </c>
      <c r="P205" s="210">
        <f t="shared" si="70"/>
        <v>0</v>
      </c>
      <c r="Q205" s="210">
        <v>0</v>
      </c>
      <c r="R205" s="211">
        <f t="shared" si="71"/>
        <v>302.97925928653467</v>
      </c>
    </row>
    <row r="206" spans="1:18" x14ac:dyDescent="0.25">
      <c r="A206" s="126">
        <v>7</v>
      </c>
      <c r="B206" s="202">
        <f t="shared" si="65"/>
        <v>43647</v>
      </c>
      <c r="C206" s="226">
        <f t="shared" si="85"/>
        <v>43682</v>
      </c>
      <c r="D206" s="226">
        <f t="shared" si="85"/>
        <v>43697</v>
      </c>
      <c r="E206" s="54" t="s">
        <v>17</v>
      </c>
      <c r="F206" s="163">
        <v>9</v>
      </c>
      <c r="G206" s="205">
        <v>117</v>
      </c>
      <c r="H206" s="206">
        <f t="shared" si="90"/>
        <v>3.4452834394041285</v>
      </c>
      <c r="I206" s="206">
        <f t="shared" si="83"/>
        <v>6.3301120928520218</v>
      </c>
      <c r="J206" s="207">
        <f t="shared" si="66"/>
        <v>740.62311486368651</v>
      </c>
      <c r="K206" s="214">
        <f t="shared" si="89"/>
        <v>403.09816241028301</v>
      </c>
      <c r="L206" s="213">
        <f t="shared" si="91"/>
        <v>337.5249524534035</v>
      </c>
      <c r="M206" s="210">
        <f t="shared" si="67"/>
        <v>16.960780911842051</v>
      </c>
      <c r="N206" s="211">
        <f t="shared" si="68"/>
        <v>354.48573336524555</v>
      </c>
      <c r="O206" s="210">
        <f t="shared" si="69"/>
        <v>0</v>
      </c>
      <c r="P206" s="210">
        <f t="shared" si="70"/>
        <v>0</v>
      </c>
      <c r="Q206" s="210">
        <v>0</v>
      </c>
      <c r="R206" s="211">
        <f t="shared" si="71"/>
        <v>354.48573336524555</v>
      </c>
    </row>
    <row r="207" spans="1:18" x14ac:dyDescent="0.25">
      <c r="A207" s="163">
        <v>8</v>
      </c>
      <c r="B207" s="202">
        <f t="shared" si="65"/>
        <v>43678</v>
      </c>
      <c r="C207" s="226">
        <f t="shared" si="85"/>
        <v>43712</v>
      </c>
      <c r="D207" s="226">
        <f t="shared" si="85"/>
        <v>43727</v>
      </c>
      <c r="E207" s="54" t="s">
        <v>17</v>
      </c>
      <c r="F207" s="163">
        <v>9</v>
      </c>
      <c r="G207" s="205">
        <v>116</v>
      </c>
      <c r="H207" s="206">
        <f t="shared" ref="H207:H211" si="92">$K$3</f>
        <v>3.4452834394041285</v>
      </c>
      <c r="I207" s="206">
        <f t="shared" si="83"/>
        <v>6.3301120928520218</v>
      </c>
      <c r="J207" s="207">
        <f t="shared" si="66"/>
        <v>734.29300277083451</v>
      </c>
      <c r="K207" s="214">
        <f t="shared" si="89"/>
        <v>399.65287897087893</v>
      </c>
      <c r="L207" s="213">
        <f t="shared" si="91"/>
        <v>334.64012379995557</v>
      </c>
      <c r="M207" s="210">
        <f t="shared" si="67"/>
        <v>16.815816972424599</v>
      </c>
      <c r="N207" s="211">
        <f t="shared" si="68"/>
        <v>351.45594077238019</v>
      </c>
      <c r="O207" s="210">
        <f t="shared" si="69"/>
        <v>0</v>
      </c>
      <c r="P207" s="210">
        <f t="shared" si="70"/>
        <v>0</v>
      </c>
      <c r="Q207" s="210">
        <v>0</v>
      </c>
      <c r="R207" s="211">
        <f t="shared" si="71"/>
        <v>351.45594077238019</v>
      </c>
    </row>
    <row r="208" spans="1:18" x14ac:dyDescent="0.25">
      <c r="A208" s="163">
        <v>9</v>
      </c>
      <c r="B208" s="202">
        <f t="shared" si="65"/>
        <v>43709</v>
      </c>
      <c r="C208" s="226">
        <f t="shared" si="85"/>
        <v>43741</v>
      </c>
      <c r="D208" s="226">
        <f t="shared" si="85"/>
        <v>43756</v>
      </c>
      <c r="E208" s="54" t="s">
        <v>17</v>
      </c>
      <c r="F208" s="163">
        <v>9</v>
      </c>
      <c r="G208" s="205">
        <v>113</v>
      </c>
      <c r="H208" s="206">
        <f t="shared" si="92"/>
        <v>3.4452834394041285</v>
      </c>
      <c r="I208" s="206">
        <f t="shared" si="83"/>
        <v>6.3301120928520218</v>
      </c>
      <c r="J208" s="207">
        <f t="shared" si="66"/>
        <v>715.30266649227849</v>
      </c>
      <c r="K208" s="214">
        <f t="shared" si="89"/>
        <v>389.31702865266652</v>
      </c>
      <c r="L208" s="213">
        <f t="shared" si="91"/>
        <v>325.98563783961197</v>
      </c>
      <c r="M208" s="210">
        <f t="shared" si="67"/>
        <v>16.380925154172235</v>
      </c>
      <c r="N208" s="211">
        <f t="shared" si="68"/>
        <v>342.36656299378421</v>
      </c>
      <c r="O208" s="210">
        <f t="shared" si="69"/>
        <v>0</v>
      </c>
      <c r="P208" s="210">
        <f t="shared" si="70"/>
        <v>0</v>
      </c>
      <c r="Q208" s="210">
        <v>0</v>
      </c>
      <c r="R208" s="211">
        <f t="shared" si="71"/>
        <v>342.36656299378421</v>
      </c>
    </row>
    <row r="209" spans="1:18" x14ac:dyDescent="0.25">
      <c r="A209" s="126">
        <v>10</v>
      </c>
      <c r="B209" s="202">
        <f t="shared" si="65"/>
        <v>43739</v>
      </c>
      <c r="C209" s="226">
        <f t="shared" si="85"/>
        <v>43774</v>
      </c>
      <c r="D209" s="226">
        <f t="shared" si="85"/>
        <v>43789</v>
      </c>
      <c r="E209" s="54" t="s">
        <v>17</v>
      </c>
      <c r="F209" s="163">
        <v>9</v>
      </c>
      <c r="G209" s="205">
        <v>113</v>
      </c>
      <c r="H209" s="206">
        <f t="shared" si="92"/>
        <v>3.4452834394041285</v>
      </c>
      <c r="I209" s="206">
        <f t="shared" si="83"/>
        <v>6.3301120928520218</v>
      </c>
      <c r="J209" s="207">
        <f t="shared" si="66"/>
        <v>715.30266649227849</v>
      </c>
      <c r="K209" s="214">
        <f t="shared" si="89"/>
        <v>389.31702865266652</v>
      </c>
      <c r="L209" s="213">
        <f t="shared" si="91"/>
        <v>325.98563783961197</v>
      </c>
      <c r="M209" s="210">
        <f t="shared" si="67"/>
        <v>16.380925154172235</v>
      </c>
      <c r="N209" s="211">
        <f t="shared" si="68"/>
        <v>342.36656299378421</v>
      </c>
      <c r="O209" s="210">
        <f t="shared" si="69"/>
        <v>0</v>
      </c>
      <c r="P209" s="210">
        <f t="shared" si="70"/>
        <v>0</v>
      </c>
      <c r="Q209" s="210">
        <v>0</v>
      </c>
      <c r="R209" s="211">
        <f t="shared" si="71"/>
        <v>342.36656299378421</v>
      </c>
    </row>
    <row r="210" spans="1:18" x14ac:dyDescent="0.25">
      <c r="A210" s="163">
        <v>11</v>
      </c>
      <c r="B210" s="202">
        <f t="shared" si="65"/>
        <v>43770</v>
      </c>
      <c r="C210" s="226">
        <f t="shared" si="85"/>
        <v>43803</v>
      </c>
      <c r="D210" s="226">
        <f t="shared" si="85"/>
        <v>43818</v>
      </c>
      <c r="E210" s="54" t="s">
        <v>17</v>
      </c>
      <c r="F210" s="163">
        <v>9</v>
      </c>
      <c r="G210" s="205">
        <v>104</v>
      </c>
      <c r="H210" s="206">
        <f t="shared" si="92"/>
        <v>3.4452834394041285</v>
      </c>
      <c r="I210" s="206">
        <f t="shared" si="83"/>
        <v>6.3301120928520218</v>
      </c>
      <c r="J210" s="207">
        <f t="shared" si="66"/>
        <v>658.33165765661022</v>
      </c>
      <c r="K210" s="214">
        <f>+$G210*H210</f>
        <v>358.30947769802935</v>
      </c>
      <c r="L210" s="213">
        <f t="shared" si="91"/>
        <v>300.02217995858086</v>
      </c>
      <c r="M210" s="210">
        <f t="shared" si="67"/>
        <v>15.076249699415158</v>
      </c>
      <c r="N210" s="211">
        <f t="shared" si="68"/>
        <v>315.09842965799601</v>
      </c>
      <c r="O210" s="210">
        <f t="shared" si="69"/>
        <v>0</v>
      </c>
      <c r="P210" s="210">
        <f t="shared" si="70"/>
        <v>0</v>
      </c>
      <c r="Q210" s="210">
        <v>0</v>
      </c>
      <c r="R210" s="211">
        <f t="shared" si="71"/>
        <v>315.09842965799601</v>
      </c>
    </row>
    <row r="211" spans="1:18" s="230" customFormat="1" x14ac:dyDescent="0.25">
      <c r="A211" s="163">
        <v>12</v>
      </c>
      <c r="B211" s="228">
        <f t="shared" si="65"/>
        <v>43800</v>
      </c>
      <c r="C211" s="231">
        <f t="shared" si="85"/>
        <v>43833</v>
      </c>
      <c r="D211" s="231">
        <f t="shared" si="85"/>
        <v>43850</v>
      </c>
      <c r="E211" s="229" t="s">
        <v>17</v>
      </c>
      <c r="F211" s="174">
        <v>9</v>
      </c>
      <c r="G211" s="217">
        <v>41</v>
      </c>
      <c r="H211" s="218">
        <f t="shared" si="92"/>
        <v>3.4452834394041285</v>
      </c>
      <c r="I211" s="218">
        <f t="shared" si="83"/>
        <v>6.3301120928520218</v>
      </c>
      <c r="J211" s="219">
        <f t="shared" si="66"/>
        <v>259.53459580693288</v>
      </c>
      <c r="K211" s="220">
        <f>+$G211*H211</f>
        <v>141.25662101556927</v>
      </c>
      <c r="L211" s="221">
        <f t="shared" si="91"/>
        <v>118.27797479136362</v>
      </c>
      <c r="M211" s="219">
        <f t="shared" si="67"/>
        <v>5.9435215161155908</v>
      </c>
      <c r="N211" s="211">
        <f t="shared" si="68"/>
        <v>124.22149630747921</v>
      </c>
      <c r="O211" s="219">
        <f t="shared" si="69"/>
        <v>0</v>
      </c>
      <c r="P211" s="236">
        <f t="shared" si="70"/>
        <v>0</v>
      </c>
      <c r="Q211" s="210">
        <v>0</v>
      </c>
      <c r="R211" s="211">
        <f t="shared" si="71"/>
        <v>124.22149630747921</v>
      </c>
    </row>
    <row r="212" spans="1:18" x14ac:dyDescent="0.25">
      <c r="G212" s="237">
        <f>SUM(G20:G211)</f>
        <v>103218</v>
      </c>
      <c r="H212" s="51"/>
      <c r="I212" s="51"/>
      <c r="J212" s="51">
        <f>SUM(J20:J211)</f>
        <v>653381.51000000071</v>
      </c>
      <c r="K212" s="51">
        <f>SUM(K20:K211)</f>
        <v>355615.26604841521</v>
      </c>
      <c r="L212" s="51">
        <f>SUM(L20:L211)</f>
        <v>297766.24395158404</v>
      </c>
      <c r="M212" s="51">
        <f>SUM(M20:M211)</f>
        <v>14962.887898790705</v>
      </c>
      <c r="N212" s="51"/>
      <c r="O212" s="51"/>
      <c r="P212" s="51">
        <f>SUM(P20:P211)</f>
        <v>0</v>
      </c>
      <c r="Q212" s="51"/>
      <c r="R212" s="238">
        <f>SUM(R20:R211)</f>
        <v>312729.13185037527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9FD0D7D2-52FF-4B03-BC2B-17A2A8BFC2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2020-07-01T18:31:41Z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34117f76-9879-4d8e-89bd-ac1b4323c64e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